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autoCompressPictures="0"/>
  <workbookProtection workbookPassword="91DD" lockStructure="1"/>
  <bookViews>
    <workbookView xWindow="120" yWindow="200" windowWidth="20380" windowHeight="11760"/>
  </bookViews>
  <sheets>
    <sheet name="Informe" sheetId="1" r:id="rId1"/>
    <sheet name="Hoja2" sheetId="2" state="hidden" r:id="rId2"/>
    <sheet name="Base" sheetId="3" state="hidden" r:id="rId3"/>
    <sheet name="PC" sheetId="4" state="hidden" r:id="rId4"/>
  </sheets>
  <externalReferences>
    <externalReference r:id="rId5"/>
  </externalReferences>
  <definedNames>
    <definedName name="dpto">Hoja2!$E$12:$E$44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2" l="1"/>
  <c r="F3" i="2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F103" i="3"/>
  <c r="H103" i="3"/>
  <c r="J103" i="3"/>
  <c r="L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K97" i="4"/>
  <c r="K96" i="4"/>
  <c r="K95" i="4"/>
  <c r="K94" i="4"/>
  <c r="K93" i="4"/>
  <c r="K86" i="4"/>
  <c r="K85" i="4"/>
  <c r="K84" i="4"/>
  <c r="K83" i="4"/>
  <c r="K82" i="4"/>
  <c r="O5" i="4"/>
  <c r="P5" i="4"/>
  <c r="Q5" i="4"/>
  <c r="R5" i="4"/>
  <c r="D41" i="4"/>
  <c r="F41" i="4"/>
  <c r="H41" i="4"/>
  <c r="J41" i="4"/>
  <c r="O3" i="4"/>
  <c r="P3" i="4"/>
  <c r="Q3" i="4"/>
  <c r="R3" i="4"/>
  <c r="D1" i="4"/>
  <c r="F1" i="4"/>
  <c r="H1" i="4"/>
  <c r="J1" i="4"/>
  <c r="O99" i="3"/>
  <c r="Q99" i="3"/>
  <c r="S99" i="3"/>
  <c r="U99" i="3"/>
  <c r="W99" i="3"/>
  <c r="O96" i="3"/>
  <c r="Q96" i="3"/>
  <c r="W96" i="3"/>
  <c r="S96" i="3"/>
  <c r="U96" i="3"/>
  <c r="O93" i="3"/>
  <c r="Q93" i="3"/>
  <c r="S93" i="3"/>
  <c r="W93" i="3"/>
  <c r="U93" i="3"/>
  <c r="O90" i="3"/>
  <c r="Q90" i="3"/>
  <c r="W90" i="3"/>
  <c r="S90" i="3"/>
  <c r="U90" i="3"/>
  <c r="O87" i="3"/>
  <c r="Q87" i="3"/>
  <c r="S87" i="3"/>
  <c r="U87" i="3"/>
  <c r="W87" i="3"/>
  <c r="O84" i="3"/>
  <c r="Q84" i="3"/>
  <c r="W84" i="3"/>
  <c r="S84" i="3"/>
  <c r="U84" i="3"/>
  <c r="O81" i="3"/>
  <c r="Q81" i="3"/>
  <c r="S81" i="3"/>
  <c r="W81" i="3"/>
  <c r="U81" i="3"/>
  <c r="O78" i="3"/>
  <c r="Q78" i="3"/>
  <c r="W78" i="3"/>
  <c r="S78" i="3"/>
  <c r="U78" i="3"/>
  <c r="O75" i="3"/>
  <c r="Q75" i="3"/>
  <c r="S75" i="3"/>
  <c r="U75" i="3"/>
  <c r="W75" i="3"/>
  <c r="O72" i="3"/>
  <c r="Q72" i="3"/>
  <c r="W72" i="3"/>
  <c r="S72" i="3"/>
  <c r="U72" i="3"/>
  <c r="O69" i="3"/>
  <c r="Q69" i="3"/>
  <c r="S69" i="3"/>
  <c r="W69" i="3"/>
  <c r="U69" i="3"/>
  <c r="O66" i="3"/>
  <c r="Q66" i="3"/>
  <c r="W66" i="3"/>
  <c r="S66" i="3"/>
  <c r="U66" i="3"/>
  <c r="O63" i="3"/>
  <c r="Q63" i="3"/>
  <c r="S63" i="3"/>
  <c r="U63" i="3"/>
  <c r="W63" i="3"/>
  <c r="O60" i="3"/>
  <c r="Q60" i="3"/>
  <c r="W60" i="3"/>
  <c r="S60" i="3"/>
  <c r="U60" i="3"/>
  <c r="O57" i="3"/>
  <c r="Q57" i="3"/>
  <c r="S57" i="3"/>
  <c r="W57" i="3"/>
  <c r="U57" i="3"/>
  <c r="O54" i="3"/>
  <c r="Q54" i="3"/>
  <c r="W54" i="3"/>
  <c r="S54" i="3"/>
  <c r="U54" i="3"/>
  <c r="O51" i="3"/>
  <c r="Q51" i="3"/>
  <c r="S51" i="3"/>
  <c r="U51" i="3"/>
  <c r="W51" i="3"/>
  <c r="O48" i="3"/>
  <c r="Q48" i="3"/>
  <c r="W48" i="3"/>
  <c r="S48" i="3"/>
  <c r="U48" i="3"/>
  <c r="O45" i="3"/>
  <c r="Q45" i="3"/>
  <c r="S45" i="3"/>
  <c r="W45" i="3"/>
  <c r="U45" i="3"/>
  <c r="O42" i="3"/>
  <c r="Q42" i="3"/>
  <c r="W42" i="3"/>
  <c r="S42" i="3"/>
  <c r="U42" i="3"/>
  <c r="O39" i="3"/>
  <c r="Q39" i="3"/>
  <c r="S39" i="3"/>
  <c r="U39" i="3"/>
  <c r="W39" i="3"/>
  <c r="O36" i="3"/>
  <c r="Q36" i="3"/>
  <c r="W36" i="3"/>
  <c r="S36" i="3"/>
  <c r="U36" i="3"/>
  <c r="O33" i="3"/>
  <c r="Q33" i="3"/>
  <c r="S33" i="3"/>
  <c r="W33" i="3"/>
  <c r="U33" i="3"/>
  <c r="O30" i="3"/>
  <c r="Q30" i="3"/>
  <c r="W30" i="3"/>
  <c r="S30" i="3"/>
  <c r="U30" i="3"/>
  <c r="O27" i="3"/>
  <c r="Q27" i="3"/>
  <c r="S27" i="3"/>
  <c r="U27" i="3"/>
  <c r="W27" i="3"/>
  <c r="O24" i="3"/>
  <c r="Q24" i="3"/>
  <c r="W24" i="3"/>
  <c r="S24" i="3"/>
  <c r="U24" i="3"/>
  <c r="O21" i="3"/>
  <c r="Q21" i="3"/>
  <c r="S21" i="3"/>
  <c r="W21" i="3"/>
  <c r="U21" i="3"/>
  <c r="O18" i="3"/>
  <c r="Q18" i="3"/>
  <c r="W18" i="3"/>
  <c r="S18" i="3"/>
  <c r="U18" i="3"/>
  <c r="O15" i="3"/>
  <c r="Q15" i="3"/>
  <c r="S15" i="3"/>
  <c r="U15" i="3"/>
  <c r="W15" i="3"/>
  <c r="O12" i="3"/>
  <c r="Q12" i="3"/>
  <c r="W12" i="3"/>
  <c r="S12" i="3"/>
  <c r="U12" i="3"/>
  <c r="O9" i="3"/>
  <c r="Q9" i="3"/>
  <c r="S9" i="3"/>
  <c r="W9" i="3"/>
  <c r="U9" i="3"/>
  <c r="O6" i="3"/>
  <c r="Q6" i="3"/>
  <c r="W6" i="3"/>
  <c r="S6" i="3"/>
  <c r="U6" i="3"/>
  <c r="O3" i="3"/>
  <c r="Q3" i="3"/>
  <c r="S3" i="3"/>
  <c r="U3" i="3"/>
  <c r="W3" i="3"/>
  <c r="F1" i="3"/>
  <c r="H1" i="3"/>
  <c r="J1" i="3"/>
  <c r="L1" i="3"/>
  <c r="F6" i="2"/>
  <c r="E6" i="2"/>
  <c r="D3" i="2"/>
  <c r="C3" i="2"/>
  <c r="G7" i="2"/>
  <c r="F7" i="2"/>
  <c r="D4" i="2"/>
  <c r="E3" i="2"/>
  <c r="G4" i="2"/>
  <c r="C7" i="2"/>
  <c r="G6" i="2"/>
  <c r="C6" i="2"/>
  <c r="G3" i="2"/>
  <c r="G5" i="2"/>
  <c r="C4" i="2"/>
  <c r="D6" i="2"/>
  <c r="E7" i="2"/>
  <c r="D7" i="2"/>
  <c r="M5" i="4"/>
  <c r="O8" i="4"/>
  <c r="O9" i="4"/>
  <c r="F4" i="2"/>
  <c r="F5" i="2"/>
  <c r="E4" i="2"/>
  <c r="K6" i="2"/>
  <c r="N6" i="4"/>
  <c r="N7" i="4"/>
  <c r="D5" i="2"/>
  <c r="J3" i="2"/>
  <c r="P8" i="4"/>
  <c r="P9" i="4"/>
  <c r="Q8" i="4"/>
  <c r="Q9" i="4"/>
  <c r="O6" i="4"/>
  <c r="O7" i="4"/>
  <c r="H6" i="2"/>
  <c r="R8" i="4"/>
  <c r="P6" i="4"/>
  <c r="P7" i="4"/>
  <c r="Q6" i="4"/>
  <c r="Q7" i="4"/>
  <c r="J6" i="2"/>
  <c r="J8" i="2"/>
  <c r="C5" i="2"/>
  <c r="I3" i="2"/>
  <c r="A22" i="1"/>
  <c r="G8" i="2"/>
  <c r="G9" i="2"/>
  <c r="L3" i="2"/>
  <c r="E5" i="2"/>
  <c r="I6" i="2"/>
  <c r="L6" i="2"/>
  <c r="M3" i="2"/>
  <c r="N8" i="4"/>
  <c r="N9" i="4"/>
  <c r="R6" i="4"/>
  <c r="R7" i="4"/>
  <c r="R9" i="4"/>
  <c r="K39" i="1"/>
  <c r="K4" i="2"/>
  <c r="K3" i="2"/>
  <c r="C8" i="2"/>
  <c r="H8" i="2"/>
  <c r="I4" i="2"/>
  <c r="J4" i="2"/>
  <c r="K31" i="1"/>
  <c r="H9" i="2"/>
  <c r="A20" i="1"/>
</calcChain>
</file>

<file path=xl/sharedStrings.xml><?xml version="1.0" encoding="utf-8"?>
<sst xmlns="http://schemas.openxmlformats.org/spreadsheetml/2006/main" count="376" uniqueCount="121">
  <si>
    <t>Año</t>
  </si>
  <si>
    <t>N° estudiantes oficial</t>
  </si>
  <si>
    <t>N° estudiantes no oficial</t>
  </si>
  <si>
    <t>Puntaje prom. global oficial</t>
  </si>
  <si>
    <t>Puntaje prom. global privado</t>
  </si>
  <si>
    <t>Total</t>
  </si>
  <si>
    <t>Region</t>
  </si>
  <si>
    <t>Municipio</t>
  </si>
  <si>
    <t>Amazonas</t>
  </si>
  <si>
    <t>Caquetá</t>
  </si>
  <si>
    <t>Guainía</t>
  </si>
  <si>
    <t>Guaviare</t>
  </si>
  <si>
    <t>Putumayo</t>
  </si>
  <si>
    <t>Vaupés</t>
  </si>
  <si>
    <t>Atlántico</t>
  </si>
  <si>
    <t>Bolívar</t>
  </si>
  <si>
    <t>Cesar</t>
  </si>
  <si>
    <t>Córdoba</t>
  </si>
  <si>
    <t>La Guajira</t>
  </si>
  <si>
    <t>Magdalena</t>
  </si>
  <si>
    <t>Sucre</t>
  </si>
  <si>
    <t>Bogotá, D.C.</t>
  </si>
  <si>
    <t>Boyacá</t>
  </si>
  <si>
    <t>Cundinamarca</t>
  </si>
  <si>
    <t>Huila</t>
  </si>
  <si>
    <t>Tolima</t>
  </si>
  <si>
    <t>Antioquia</t>
  </si>
  <si>
    <t>Caldas</t>
  </si>
  <si>
    <t>Quindío</t>
  </si>
  <si>
    <t>Risaralda</t>
  </si>
  <si>
    <t>San Andrés</t>
  </si>
  <si>
    <t>Arauca</t>
  </si>
  <si>
    <t>Casanare</t>
  </si>
  <si>
    <t>Meta</t>
  </si>
  <si>
    <t>Vichada</t>
  </si>
  <si>
    <t>Cauca</t>
  </si>
  <si>
    <t>Chocó</t>
  </si>
  <si>
    <t>Nariño</t>
  </si>
  <si>
    <t>Valle del Cauca</t>
  </si>
  <si>
    <t>Norte de Santander</t>
  </si>
  <si>
    <t>Santander</t>
  </si>
  <si>
    <t>HISTÓRICO DE EVALUADOS Y RESULTADOS EN PRUEBAS: 2017-2021</t>
  </si>
  <si>
    <t>AMAZONAS</t>
  </si>
  <si>
    <t>ANTIOQUIA</t>
  </si>
  <si>
    <t>ARAUCA</t>
  </si>
  <si>
    <t>ATLANTICO</t>
  </si>
  <si>
    <t>BOGOTA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</si>
  <si>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</si>
  <si>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</si>
  <si>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</si>
  <si>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</si>
  <si>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</si>
  <si>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</si>
  <si>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</si>
  <si>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</si>
  <si>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</si>
  <si>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</si>
  <si>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</si>
  <si>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</si>
  <si>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</si>
  <si>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</si>
  <si>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</si>
  <si>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</si>
  <si>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</si>
  <si>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</si>
  <si>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</si>
  <si>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</si>
  <si>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</si>
  <si>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</si>
  <si>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</si>
  <si>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</si>
  <si>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</si>
  <si>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</t>
  </si>
  <si>
    <t>VAUPES</t>
  </si>
  <si>
    <t>VICHADA</t>
  </si>
  <si>
    <t>Amazonía</t>
  </si>
  <si>
    <t>Caribe</t>
  </si>
  <si>
    <t>Central</t>
  </si>
  <si>
    <t>Eje Cafetero y Antioquia</t>
  </si>
  <si>
    <t>Insular</t>
  </si>
  <si>
    <t>Orinoquia-Llanos</t>
  </si>
  <si>
    <t>Pacífica</t>
  </si>
  <si>
    <t>Santanderes</t>
  </si>
  <si>
    <t>ATLÁNTICO</t>
  </si>
  <si>
    <t>BOLÍVAR</t>
  </si>
  <si>
    <t>BOYACÁ</t>
  </si>
  <si>
    <t>CAQUETÁ</t>
  </si>
  <si>
    <t>CHOCÓ</t>
  </si>
  <si>
    <t>CÓRDOBA</t>
  </si>
  <si>
    <t>GUAINÍA</t>
  </si>
  <si>
    <t>QUINDÍO</t>
  </si>
  <si>
    <t>SAN ANDRÉS</t>
  </si>
  <si>
    <t>VALLE DEL CAUCA</t>
  </si>
  <si>
    <t>VAUPÉS</t>
  </si>
  <si>
    <t>No Oficial</t>
  </si>
  <si>
    <t>Oficial</t>
  </si>
  <si>
    <t>Eje</t>
  </si>
  <si>
    <t>Cafetero y Antioquia</t>
  </si>
  <si>
    <t>NORTE DE SANTANDER</t>
  </si>
  <si>
    <t>BOGOTÁ, D.C.</t>
  </si>
  <si>
    <t>A nivel de evaluados en las pruebas</t>
  </si>
  <si>
    <t>Puntaje promedio global y brechas público-privada</t>
  </si>
  <si>
    <t>PARTICIPACIÓN PORCENTUAL DE EVALUADOS SEGÚN SECTOR</t>
  </si>
  <si>
    <t>Porcentaje de estudiantes del sector oficial</t>
  </si>
  <si>
    <t>TENENCIA DE DISPOSITIVOS Y CONEXIÓN A INTERNET</t>
  </si>
  <si>
    <t>No</t>
  </si>
  <si>
    <t>Si</t>
  </si>
  <si>
    <t>Con PC</t>
  </si>
  <si>
    <t>Sin PC</t>
  </si>
  <si>
    <t>Con Internet</t>
  </si>
  <si>
    <t>Sin Internet</t>
  </si>
  <si>
    <t>Tenencia de computador</t>
  </si>
  <si>
    <t>Conexión a internet</t>
  </si>
  <si>
    <t>PERIODO</t>
  </si>
  <si>
    <t>Orinoquía-Llanos</t>
  </si>
  <si>
    <t>A nivel nacional, en el 2021 fueron evaluados en las Pruebas Saber 11 del ICFES, un total de 530.799 estudiantes de Calendario A, cifra que si bien es un 5,6% superior a la registrada en 2020, sigue estando por debajo del histórico de evaluados desde el 2017, cuyo promedio 2017-2019 fue de 543.229.</t>
  </si>
  <si>
    <t>A nivel nacional, mientras que en el 2019, el 55,8% de los estudiantes contaban con computador en casa y el 60,8% tenían conexión a internet, durante los dos años de pandemia, para el 2020 y 2021 estos porcentajes subieron: en cuanto a la tenencia de computador: 60,5% y 57,9%, respectivamente y en cuanto a la conexión a internet: 69,7% y 73,6%, respectivamente.</t>
  </si>
  <si>
    <r>
      <rPr>
        <b/>
        <sz val="9"/>
        <color theme="0"/>
        <rFont val="Helvetica"/>
      </rPr>
      <t>Seleccione el departamento de su interés</t>
    </r>
    <r>
      <rPr>
        <sz val="9"/>
        <color theme="0"/>
        <rFont val="Helvetica"/>
      </rPr>
      <t xml:space="preserve">
</t>
    </r>
    <r>
      <rPr>
        <i/>
        <sz val="9"/>
        <color theme="0"/>
        <rFont val="Helvetica"/>
      </rPr>
      <t>(seleccione de la lista desplegable)</t>
    </r>
  </si>
  <si>
    <r>
      <rPr>
        <b/>
        <u/>
        <sz val="12"/>
        <color theme="1"/>
        <rFont val="Helvetica"/>
      </rPr>
      <t>INFORME TERRITORIAL
RESULTADOS PRUEBAS SABER 11</t>
    </r>
    <r>
      <rPr>
        <b/>
        <sz val="12"/>
        <color theme="1"/>
        <rFont val="Helvetica"/>
      </rPr>
      <t xml:space="preserve">
</t>
    </r>
    <r>
      <rPr>
        <sz val="12"/>
        <color theme="1"/>
        <rFont val="Helvetica"/>
      </rPr>
      <t xml:space="preserve">Laboratorio de Economía de la Educación </t>
    </r>
  </si>
  <si>
    <t>A nivel nacional, la brecha público-privada para el 2019 fue de 25 puntos, para el 2020 aumentó a 29,5 y para el 2021 volvió a incrementarse ubicándose en 32 puntos, lo que se traduce en un incremento de 7 puntos con respecto al 2019.</t>
  </si>
  <si>
    <t>A nivel nacional, en promedio, el 77% de los evaluados en las pruebas son del sector oficial. En los departamentos de Vichada y Vaupés, el 100% de los evaluados son del sector oficial. Por su parte, es Bogotá el que registra la menor participación de este sector (en promedio el 56%), siguiéndole el departamento de Córdoba con el 66,4%.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</si>
</sst>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%"/>
    <numFmt numFmtId="168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theme="1"/>
      <name val="Helvetica"/>
    </font>
    <font>
      <sz val="9"/>
      <color theme="0"/>
      <name val="Helvetica"/>
    </font>
    <font>
      <b/>
      <sz val="9"/>
      <color theme="0"/>
      <name val="Helvetica"/>
    </font>
    <font>
      <sz val="11"/>
      <color theme="1"/>
      <name val="Avenir Black"/>
    </font>
    <font>
      <b/>
      <sz val="20"/>
      <color theme="0"/>
      <name val="Helvetica"/>
    </font>
    <font>
      <b/>
      <sz val="20"/>
      <color rgb="FFFF0000"/>
      <name val="Helvetica"/>
    </font>
    <font>
      <sz val="11"/>
      <color theme="0"/>
      <name val="Helvetica"/>
    </font>
    <font>
      <sz val="9"/>
      <color theme="1"/>
      <name val="Helvetica"/>
    </font>
    <font>
      <i/>
      <sz val="9"/>
      <color theme="0"/>
      <name val="Helvetica"/>
    </font>
    <font>
      <b/>
      <sz val="11"/>
      <color theme="0"/>
      <name val="Helvetica"/>
    </font>
    <font>
      <b/>
      <sz val="12"/>
      <color theme="1"/>
      <name val="Helvetica"/>
    </font>
    <font>
      <b/>
      <u/>
      <sz val="12"/>
      <color theme="1"/>
      <name val="Helvetica"/>
    </font>
    <font>
      <sz val="12"/>
      <color theme="1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166" fontId="0" fillId="0" borderId="0" xfId="0" applyNumberFormat="1"/>
    <xf numFmtId="165" fontId="0" fillId="0" borderId="0" xfId="0" applyNumberFormat="1"/>
    <xf numFmtId="167" fontId="0" fillId="0" borderId="0" xfId="2" applyNumberFormat="1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0" fillId="0" borderId="0" xfId="0" applyAlignment="1"/>
    <xf numFmtId="168" fontId="0" fillId="0" borderId="0" xfId="1" applyNumberFormat="1" applyFont="1"/>
    <xf numFmtId="167" fontId="0" fillId="0" borderId="0" xfId="0" applyNumberFormat="1"/>
    <xf numFmtId="0" fontId="6" fillId="0" borderId="0" xfId="0" applyFont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4354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94888854293837"/>
          <c:y val="0.0279001250394263"/>
          <c:w val="0.8279552172806"/>
          <c:h val="0.7736048475162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Hoja2!$B$3</c:f>
              <c:strCache>
                <c:ptCount val="1"/>
                <c:pt idx="0">
                  <c:v>N° estudiantes oficial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37227318732119E-17"/>
                  <c:y val="0.0239316384268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00183944298769572"/>
                  <c:y val="-0.05384618646044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rgbClr val="C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[1]Sector!$B$1:$F$1</c:f>
              <c:numCache>
                <c:formatCode>General</c:formatCode>
                <c:ptCount val="5"/>
                <c:pt idx="0">
                  <c:v>2017.0</c:v>
                </c:pt>
                <c:pt idx="1">
                  <c:v>2018.0</c:v>
                </c:pt>
                <c:pt idx="2">
                  <c:v>2019.0</c:v>
                </c:pt>
                <c:pt idx="3">
                  <c:v>2020.0</c:v>
                </c:pt>
                <c:pt idx="4">
                  <c:v>2021.0</c:v>
                </c:pt>
              </c:numCache>
            </c:numRef>
          </c:cat>
          <c:val>
            <c:numRef>
              <c:f>Hoja2!$C$3:$G$3</c:f>
              <c:numCache>
                <c:formatCode>_(* #,##0_);_(* \(#,##0\);_(* "-"??_);_(@_)</c:formatCode>
                <c:ptCount val="5"/>
                <c:pt idx="0">
                  <c:v>809.0</c:v>
                </c:pt>
                <c:pt idx="1">
                  <c:v>957.0</c:v>
                </c:pt>
                <c:pt idx="2">
                  <c:v>795.0</c:v>
                </c:pt>
                <c:pt idx="3">
                  <c:v>607.0</c:v>
                </c:pt>
                <c:pt idx="4">
                  <c:v>642.0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FE-4CC2-9E86-5570240A8C6D}"/>
            </c:ext>
          </c:extLst>
        </c:ser>
        <c:ser>
          <c:idx val="2"/>
          <c:order val="1"/>
          <c:tx>
            <c:strRef>
              <c:f>Hoja2!$B$4</c:f>
              <c:strCache>
                <c:ptCount val="1"/>
                <c:pt idx="0">
                  <c:v>N° estudiantes no oficial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rgbClr val="435422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[1]Sector!$B$1:$F$1</c:f>
              <c:numCache>
                <c:formatCode>General</c:formatCode>
                <c:ptCount val="5"/>
                <c:pt idx="0">
                  <c:v>2017.0</c:v>
                </c:pt>
                <c:pt idx="1">
                  <c:v>2018.0</c:v>
                </c:pt>
                <c:pt idx="2">
                  <c:v>2019.0</c:v>
                </c:pt>
                <c:pt idx="3">
                  <c:v>2020.0</c:v>
                </c:pt>
                <c:pt idx="4">
                  <c:v>2021.0</c:v>
                </c:pt>
              </c:numCache>
            </c:numRef>
          </c:cat>
          <c:val>
            <c:numRef>
              <c:f>Hoja2!$C$4:$G$4</c:f>
              <c:numCache>
                <c:formatCode>_(* #,##0_);_(* \(#,##0\);_(* "-"??_);_(@_)</c:formatCode>
                <c:ptCount val="5"/>
                <c:pt idx="0">
                  <c:v>36.0</c:v>
                </c:pt>
                <c:pt idx="1">
                  <c:v>21.0</c:v>
                </c:pt>
                <c:pt idx="2">
                  <c:v>28.0</c:v>
                </c:pt>
                <c:pt idx="3">
                  <c:v>23.0</c:v>
                </c:pt>
                <c:pt idx="4">
                  <c:v>24.0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FE-4CC2-9E86-5570240A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-2141187512"/>
        <c:axId val="2137556696"/>
      </c:barChart>
      <c:lineChart>
        <c:grouping val="standard"/>
        <c:varyColors val="0"/>
        <c:ser>
          <c:idx val="3"/>
          <c:order val="2"/>
          <c:tx>
            <c:strRef>
              <c:f>Hoja2!$B$6</c:f>
              <c:strCache>
                <c:ptCount val="1"/>
                <c:pt idx="0">
                  <c:v>Puntaje prom. global oficial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Hoja2!$C$2:$G$2</c:f>
              <c:numCache>
                <c:formatCode>General</c:formatCode>
                <c:ptCount val="5"/>
                <c:pt idx="0">
                  <c:v>2017.0</c:v>
                </c:pt>
                <c:pt idx="1">
                  <c:v>2018.0</c:v>
                </c:pt>
                <c:pt idx="2">
                  <c:v>2019.0</c:v>
                </c:pt>
                <c:pt idx="3">
                  <c:v>2020.0</c:v>
                </c:pt>
                <c:pt idx="4">
                  <c:v>2021.0</c:v>
                </c:pt>
              </c:numCache>
            </c:numRef>
          </c:cat>
          <c:val>
            <c:numRef>
              <c:f>Hoja2!$C$6:$G$6</c:f>
              <c:numCache>
                <c:formatCode>_(* #,##0.0_);_(* \(#,##0.0\);_(* "-"??_);_(@_)</c:formatCode>
                <c:ptCount val="5"/>
                <c:pt idx="0">
                  <c:v>223.027</c:v>
                </c:pt>
                <c:pt idx="1">
                  <c:v>214.737</c:v>
                </c:pt>
                <c:pt idx="2">
                  <c:v>210.029</c:v>
                </c:pt>
                <c:pt idx="3">
                  <c:v>217.573</c:v>
                </c:pt>
                <c:pt idx="4">
                  <c:v>210.039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AFE-4CC2-9E86-5570240A8C6D}"/>
            </c:ext>
          </c:extLst>
        </c:ser>
        <c:ser>
          <c:idx val="4"/>
          <c:order val="3"/>
          <c:tx>
            <c:strRef>
              <c:f>Hoja2!$B$7</c:f>
              <c:strCache>
                <c:ptCount val="1"/>
                <c:pt idx="0">
                  <c:v>Puntaje prom. global privado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Hoja2!$C$2:$G$2</c:f>
              <c:numCache>
                <c:formatCode>General</c:formatCode>
                <c:ptCount val="5"/>
                <c:pt idx="0">
                  <c:v>2017.0</c:v>
                </c:pt>
                <c:pt idx="1">
                  <c:v>2018.0</c:v>
                </c:pt>
                <c:pt idx="2">
                  <c:v>2019.0</c:v>
                </c:pt>
                <c:pt idx="3">
                  <c:v>2020.0</c:v>
                </c:pt>
                <c:pt idx="4">
                  <c:v>2021.0</c:v>
                </c:pt>
              </c:numCache>
            </c:numRef>
          </c:cat>
          <c:val>
            <c:numRef>
              <c:f>Hoja2!$C$7:$G$7</c:f>
              <c:numCache>
                <c:formatCode>_(* #,##0.0_);_(* \(#,##0.0\);_(* "-"??_);_(@_)</c:formatCode>
                <c:ptCount val="5"/>
                <c:pt idx="0">
                  <c:v>307.556</c:v>
                </c:pt>
                <c:pt idx="1">
                  <c:v>316.048</c:v>
                </c:pt>
                <c:pt idx="2">
                  <c:v>296.214</c:v>
                </c:pt>
                <c:pt idx="3">
                  <c:v>310.174</c:v>
                </c:pt>
                <c:pt idx="4">
                  <c:v>296.0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AFE-4CC2-9E86-5570240A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4140248"/>
        <c:axId val="-2142459240"/>
      </c:lineChart>
      <c:catAx>
        <c:axId val="-214118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7556696"/>
        <c:crosses val="autoZero"/>
        <c:auto val="1"/>
        <c:lblAlgn val="ctr"/>
        <c:lblOffset val="100"/>
        <c:noMultiLvlLbl val="0"/>
      </c:catAx>
      <c:valAx>
        <c:axId val="213755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1"/>
                    </a:solidFill>
                  </a:defRPr>
                </a:pPr>
                <a:r>
                  <a:rPr lang="es-CO" sz="800" b="0">
                    <a:solidFill>
                      <a:schemeClr val="tx1"/>
                    </a:solidFill>
                  </a:rPr>
                  <a:t>N° evaluados</a:t>
                </a:r>
              </a:p>
            </c:rich>
          </c:tx>
          <c:layout>
            <c:manualLayout>
              <c:xMode val="edge"/>
              <c:yMode val="edge"/>
              <c:x val="0.0"/>
              <c:y val="0.269705555555556"/>
            </c:manualLayout>
          </c:layout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141187512"/>
        <c:crosses val="autoZero"/>
        <c:crossBetween val="between"/>
      </c:valAx>
      <c:valAx>
        <c:axId val="-214245924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chemeClr val="tx1"/>
                    </a:solidFill>
                  </a:defRPr>
                </a:pPr>
                <a:r>
                  <a:rPr lang="es-CO" sz="800" b="0">
                    <a:solidFill>
                      <a:schemeClr val="tx1"/>
                    </a:solidFill>
                  </a:rPr>
                  <a:t>Puntaje promedio</a:t>
                </a:r>
              </a:p>
            </c:rich>
          </c:tx>
          <c:layout>
            <c:manualLayout>
              <c:xMode val="edge"/>
              <c:yMode val="edge"/>
              <c:x val="0.97255669751057"/>
              <c:y val="0.22726219449367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144140248"/>
        <c:crosses val="max"/>
        <c:crossBetween val="between"/>
        <c:minorUnit val="10.0"/>
      </c:valAx>
      <c:catAx>
        <c:axId val="-2144140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42459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350894950963378"/>
          <c:y val="0.903838876867886"/>
          <c:w val="0.93322736322892"/>
          <c:h val="0.091240402503275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9194800935"/>
          <c:y val="0.0485069444444444"/>
          <c:w val="0.756813770457531"/>
          <c:h val="0.6190126677487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Hoja2!$H$3</c:f>
              <c:strCache>
                <c:ptCount val="1"/>
                <c:pt idx="0">
                  <c:v>Porcentaje de estudiantes del sector oficial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[1]Sector!$B$1:$F$1</c:f>
              <c:numCache>
                <c:formatCode>General</c:formatCode>
                <c:ptCount val="5"/>
                <c:pt idx="0">
                  <c:v>2017.0</c:v>
                </c:pt>
                <c:pt idx="1">
                  <c:v>2018.0</c:v>
                </c:pt>
                <c:pt idx="2">
                  <c:v>2019.0</c:v>
                </c:pt>
                <c:pt idx="3">
                  <c:v>2020.0</c:v>
                </c:pt>
                <c:pt idx="4">
                  <c:v>2021.0</c:v>
                </c:pt>
              </c:numCache>
            </c:numRef>
          </c:cat>
          <c:val>
            <c:numRef>
              <c:f>Hoja2!$I$3:$M$3</c:f>
              <c:numCache>
                <c:formatCode>0.0%</c:formatCode>
                <c:ptCount val="5"/>
                <c:pt idx="0">
                  <c:v>0.957396449704142</c:v>
                </c:pt>
                <c:pt idx="1">
                  <c:v>0.978527607361963</c:v>
                </c:pt>
                <c:pt idx="2">
                  <c:v>0.965978128797084</c:v>
                </c:pt>
                <c:pt idx="3">
                  <c:v>0.963492063492063</c:v>
                </c:pt>
                <c:pt idx="4">
                  <c:v>0.963963963963964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FE-4CC2-9E86-5570240A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-2130442232"/>
        <c:axId val="2095030968"/>
      </c:barChart>
      <c:lineChart>
        <c:grouping val="standard"/>
        <c:varyColors val="0"/>
        <c:ser>
          <c:idx val="3"/>
          <c:order val="1"/>
          <c:tx>
            <c:strRef>
              <c:f>Hoja2!$B$6</c:f>
              <c:strCache>
                <c:ptCount val="1"/>
                <c:pt idx="0">
                  <c:v>Puntaje prom. global oficial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txPr>
              <a:bodyPr/>
              <a:lstStyle/>
              <a:p>
                <a:pPr>
                  <a:defRPr sz="6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Hoja2!$C$2:$G$2</c:f>
              <c:numCache>
                <c:formatCode>General</c:formatCode>
                <c:ptCount val="5"/>
                <c:pt idx="0">
                  <c:v>2017.0</c:v>
                </c:pt>
                <c:pt idx="1">
                  <c:v>2018.0</c:v>
                </c:pt>
                <c:pt idx="2">
                  <c:v>2019.0</c:v>
                </c:pt>
                <c:pt idx="3">
                  <c:v>2020.0</c:v>
                </c:pt>
                <c:pt idx="4">
                  <c:v>2021.0</c:v>
                </c:pt>
              </c:numCache>
            </c:numRef>
          </c:cat>
          <c:val>
            <c:numRef>
              <c:f>Hoja2!$C$6:$G$6</c:f>
              <c:numCache>
                <c:formatCode>_(* #,##0.0_);_(* \(#,##0.0\);_(* "-"??_);_(@_)</c:formatCode>
                <c:ptCount val="5"/>
                <c:pt idx="0">
                  <c:v>223.027</c:v>
                </c:pt>
                <c:pt idx="1">
                  <c:v>214.737</c:v>
                </c:pt>
                <c:pt idx="2">
                  <c:v>210.029</c:v>
                </c:pt>
                <c:pt idx="3">
                  <c:v>217.573</c:v>
                </c:pt>
                <c:pt idx="4">
                  <c:v>210.039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AFE-4CC2-9E86-5570240A8C6D}"/>
            </c:ext>
          </c:extLst>
        </c:ser>
        <c:ser>
          <c:idx val="4"/>
          <c:order val="2"/>
          <c:tx>
            <c:strRef>
              <c:f>Hoja2!$B$7</c:f>
              <c:strCache>
                <c:ptCount val="1"/>
                <c:pt idx="0">
                  <c:v>Puntaje prom. global privado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txPr>
              <a:bodyPr/>
              <a:lstStyle/>
              <a:p>
                <a:pPr>
                  <a:defRPr sz="600" b="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Hoja2!$C$2:$G$2</c:f>
              <c:numCache>
                <c:formatCode>General</c:formatCode>
                <c:ptCount val="5"/>
                <c:pt idx="0">
                  <c:v>2017.0</c:v>
                </c:pt>
                <c:pt idx="1">
                  <c:v>2018.0</c:v>
                </c:pt>
                <c:pt idx="2">
                  <c:v>2019.0</c:v>
                </c:pt>
                <c:pt idx="3">
                  <c:v>2020.0</c:v>
                </c:pt>
                <c:pt idx="4">
                  <c:v>2021.0</c:v>
                </c:pt>
              </c:numCache>
            </c:numRef>
          </c:cat>
          <c:val>
            <c:numRef>
              <c:f>Hoja2!$C$7:$G$7</c:f>
              <c:numCache>
                <c:formatCode>_(* #,##0.0_);_(* \(#,##0.0\);_(* "-"??_);_(@_)</c:formatCode>
                <c:ptCount val="5"/>
                <c:pt idx="0">
                  <c:v>307.556</c:v>
                </c:pt>
                <c:pt idx="1">
                  <c:v>316.048</c:v>
                </c:pt>
                <c:pt idx="2">
                  <c:v>296.214</c:v>
                </c:pt>
                <c:pt idx="3">
                  <c:v>310.174</c:v>
                </c:pt>
                <c:pt idx="4">
                  <c:v>296.0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AFE-4CC2-9E86-5570240A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633416"/>
        <c:axId val="2121008808"/>
      </c:lineChart>
      <c:catAx>
        <c:axId val="-213044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5030968"/>
        <c:crosses val="autoZero"/>
        <c:auto val="1"/>
        <c:lblAlgn val="ctr"/>
        <c:lblOffset val="100"/>
        <c:noMultiLvlLbl val="0"/>
      </c:catAx>
      <c:valAx>
        <c:axId val="20950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700" b="0">
                    <a:solidFill>
                      <a:schemeClr val="tx1"/>
                    </a:solidFill>
                  </a:defRPr>
                </a:pPr>
                <a:r>
                  <a:rPr lang="es-CO" sz="700" b="0">
                    <a:solidFill>
                      <a:schemeClr val="tx1"/>
                    </a:solidFill>
                  </a:rPr>
                  <a:t>% sector </a:t>
                </a:r>
                <a:r>
                  <a:rPr lang="es-CO" sz="700" b="0" baseline="0">
                    <a:solidFill>
                      <a:schemeClr val="tx1"/>
                    </a:solidFill>
                  </a:rPr>
                  <a:t> oficial</a:t>
                </a:r>
                <a:endParaRPr lang="es-CO" sz="700" b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0"/>
              <c:y val="0.186947155550994"/>
            </c:manualLayout>
          </c:layout>
          <c:overlay val="0"/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130442232"/>
        <c:crosses val="autoZero"/>
        <c:crossBetween val="between"/>
      </c:valAx>
      <c:valAx>
        <c:axId val="212100880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700" b="0">
                    <a:solidFill>
                      <a:schemeClr val="tx1"/>
                    </a:solidFill>
                  </a:defRPr>
                </a:pPr>
                <a:r>
                  <a:rPr lang="es-CO" sz="700" b="0">
                    <a:solidFill>
                      <a:schemeClr val="tx1"/>
                    </a:solidFill>
                  </a:rPr>
                  <a:t>Puntaje promedio</a:t>
                </a:r>
              </a:p>
            </c:rich>
          </c:tx>
          <c:layout>
            <c:manualLayout>
              <c:xMode val="edge"/>
              <c:yMode val="edge"/>
              <c:x val="0.955958974100193"/>
              <c:y val="0.149580259130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4633416"/>
        <c:crosses val="max"/>
        <c:crossBetween val="between"/>
        <c:minorUnit val="10.0"/>
      </c:valAx>
      <c:catAx>
        <c:axId val="2094633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008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160157923161443"/>
          <c:y val="0.771365379480232"/>
          <c:w val="0.97137462476128"/>
          <c:h val="0.208996184716216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800"/>
              <a:t>Porcentaje</a:t>
            </a:r>
            <a:r>
              <a:rPr lang="es-CO" sz="800" baseline="0"/>
              <a:t> de evaluados con computador e internet en casa</a:t>
            </a:r>
            <a:endParaRPr lang="es-CO" sz="800"/>
          </a:p>
        </c:rich>
      </c:tx>
      <c:layout>
        <c:manualLayout>
          <c:xMode val="edge"/>
          <c:yMode val="edge"/>
          <c:x val="0.0971395387842183"/>
          <c:y val="0.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0114519442155058"/>
          <c:y val="0.272518302619985"/>
          <c:w val="0.874973323883225"/>
          <c:h val="0.4544186536332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PC!$N$5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PC!$L$6:$M$9</c:f>
              <c:multiLvlStrCache>
                <c:ptCount val="4"/>
                <c:lvl>
                  <c:pt idx="0">
                    <c:v>Con PC</c:v>
                  </c:pt>
                  <c:pt idx="1">
                    <c:v>Sin PC</c:v>
                  </c:pt>
                  <c:pt idx="2">
                    <c:v>Con Internet</c:v>
                  </c:pt>
                  <c:pt idx="3">
                    <c:v>Sin Internet</c:v>
                  </c:pt>
                </c:lvl>
                <c:lvl>
                  <c:pt idx="0">
                    <c:v>Tenencia de computador</c:v>
                  </c:pt>
                  <c:pt idx="2">
                    <c:v>Conexión a internet</c:v>
                  </c:pt>
                </c:lvl>
              </c:multiLvlStrCache>
            </c:multiLvlStrRef>
          </c:cat>
          <c:val>
            <c:numRef>
              <c:f>PC!$N$6:$N$9</c:f>
              <c:numCache>
                <c:formatCode>0.0</c:formatCode>
                <c:ptCount val="4"/>
                <c:pt idx="0">
                  <c:v>35.46</c:v>
                </c:pt>
                <c:pt idx="1">
                  <c:v>64.54</c:v>
                </c:pt>
                <c:pt idx="2">
                  <c:v>14.52</c:v>
                </c:pt>
                <c:pt idx="3">
                  <c:v>85.48</c:v>
                </c:pt>
              </c:numCache>
            </c:numRef>
          </c:val>
        </c:ser>
        <c:ser>
          <c:idx val="2"/>
          <c:order val="1"/>
          <c:tx>
            <c:strRef>
              <c:f>PC!$O$5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PC!$L$6:$M$9</c:f>
              <c:multiLvlStrCache>
                <c:ptCount val="4"/>
                <c:lvl>
                  <c:pt idx="0">
                    <c:v>Con PC</c:v>
                  </c:pt>
                  <c:pt idx="1">
                    <c:v>Sin PC</c:v>
                  </c:pt>
                  <c:pt idx="2">
                    <c:v>Con Internet</c:v>
                  </c:pt>
                  <c:pt idx="3">
                    <c:v>Sin Internet</c:v>
                  </c:pt>
                </c:lvl>
                <c:lvl>
                  <c:pt idx="0">
                    <c:v>Tenencia de computador</c:v>
                  </c:pt>
                  <c:pt idx="2">
                    <c:v>Conexión a internet</c:v>
                  </c:pt>
                </c:lvl>
              </c:multiLvlStrCache>
            </c:multiLvlStrRef>
          </c:cat>
          <c:val>
            <c:numRef>
              <c:f>PC!$O$6:$O$9</c:f>
              <c:numCache>
                <c:formatCode>0.0</c:formatCode>
                <c:ptCount val="4"/>
                <c:pt idx="0">
                  <c:v>36.82</c:v>
                </c:pt>
                <c:pt idx="1">
                  <c:v>63.18</c:v>
                </c:pt>
                <c:pt idx="2">
                  <c:v>17.16</c:v>
                </c:pt>
                <c:pt idx="3">
                  <c:v>82.84</c:v>
                </c:pt>
              </c:numCache>
            </c:numRef>
          </c:val>
        </c:ser>
        <c:ser>
          <c:idx val="3"/>
          <c:order val="2"/>
          <c:tx>
            <c:strRef>
              <c:f>PC!$P$5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PC!$L$6:$M$9</c:f>
              <c:multiLvlStrCache>
                <c:ptCount val="4"/>
                <c:lvl>
                  <c:pt idx="0">
                    <c:v>Con PC</c:v>
                  </c:pt>
                  <c:pt idx="1">
                    <c:v>Sin PC</c:v>
                  </c:pt>
                  <c:pt idx="2">
                    <c:v>Con Internet</c:v>
                  </c:pt>
                  <c:pt idx="3">
                    <c:v>Sin Internet</c:v>
                  </c:pt>
                </c:lvl>
                <c:lvl>
                  <c:pt idx="0">
                    <c:v>Tenencia de computador</c:v>
                  </c:pt>
                  <c:pt idx="2">
                    <c:v>Conexión a internet</c:v>
                  </c:pt>
                </c:lvl>
              </c:multiLvlStrCache>
            </c:multiLvlStrRef>
          </c:cat>
          <c:val>
            <c:numRef>
              <c:f>PC!$P$6:$P$9</c:f>
              <c:numCache>
                <c:formatCode>0.0</c:formatCode>
                <c:ptCount val="4"/>
                <c:pt idx="0">
                  <c:v>29.24</c:v>
                </c:pt>
                <c:pt idx="1">
                  <c:v>70.76</c:v>
                </c:pt>
                <c:pt idx="2">
                  <c:v>15.24</c:v>
                </c:pt>
                <c:pt idx="3">
                  <c:v>84.76</c:v>
                </c:pt>
              </c:numCache>
            </c:numRef>
          </c:val>
        </c:ser>
        <c:ser>
          <c:idx val="4"/>
          <c:order val="3"/>
          <c:tx>
            <c:strRef>
              <c:f>PC!$Q$5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PC!$L$6:$M$9</c:f>
              <c:multiLvlStrCache>
                <c:ptCount val="4"/>
                <c:lvl>
                  <c:pt idx="0">
                    <c:v>Con PC</c:v>
                  </c:pt>
                  <c:pt idx="1">
                    <c:v>Sin PC</c:v>
                  </c:pt>
                  <c:pt idx="2">
                    <c:v>Con Internet</c:v>
                  </c:pt>
                  <c:pt idx="3">
                    <c:v>Sin Internet</c:v>
                  </c:pt>
                </c:lvl>
                <c:lvl>
                  <c:pt idx="0">
                    <c:v>Tenencia de computador</c:v>
                  </c:pt>
                  <c:pt idx="2">
                    <c:v>Conexión a internet</c:v>
                  </c:pt>
                </c:lvl>
              </c:multiLvlStrCache>
            </c:multiLvlStrRef>
          </c:cat>
          <c:val>
            <c:numRef>
              <c:f>PC!$Q$6:$Q$9</c:f>
              <c:numCache>
                <c:formatCode>0.0</c:formatCode>
                <c:ptCount val="4"/>
                <c:pt idx="0">
                  <c:v>38.83</c:v>
                </c:pt>
                <c:pt idx="1">
                  <c:v>61.17</c:v>
                </c:pt>
                <c:pt idx="2">
                  <c:v>21.83</c:v>
                </c:pt>
                <c:pt idx="3">
                  <c:v>78.17</c:v>
                </c:pt>
              </c:numCache>
            </c:numRef>
          </c:val>
        </c:ser>
        <c:ser>
          <c:idx val="5"/>
          <c:order val="4"/>
          <c:tx>
            <c:strRef>
              <c:f>PC!$R$5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PC!$L$6:$M$9</c:f>
              <c:multiLvlStrCache>
                <c:ptCount val="4"/>
                <c:lvl>
                  <c:pt idx="0">
                    <c:v>Con PC</c:v>
                  </c:pt>
                  <c:pt idx="1">
                    <c:v>Sin PC</c:v>
                  </c:pt>
                  <c:pt idx="2">
                    <c:v>Con Internet</c:v>
                  </c:pt>
                  <c:pt idx="3">
                    <c:v>Sin Internet</c:v>
                  </c:pt>
                </c:lvl>
                <c:lvl>
                  <c:pt idx="0">
                    <c:v>Tenencia de computador</c:v>
                  </c:pt>
                  <c:pt idx="2">
                    <c:v>Conexión a internet</c:v>
                  </c:pt>
                </c:lvl>
              </c:multiLvlStrCache>
            </c:multiLvlStrRef>
          </c:cat>
          <c:val>
            <c:numRef>
              <c:f>PC!$R$6:$R$9</c:f>
              <c:numCache>
                <c:formatCode>0.0</c:formatCode>
                <c:ptCount val="4"/>
                <c:pt idx="0">
                  <c:v>36.49</c:v>
                </c:pt>
                <c:pt idx="1">
                  <c:v>63.51</c:v>
                </c:pt>
                <c:pt idx="2">
                  <c:v>23.08</c:v>
                </c:pt>
                <c:pt idx="3">
                  <c:v>76.92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27539544"/>
        <c:axId val="-2142591432"/>
      </c:barChart>
      <c:catAx>
        <c:axId val="-2127539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ES"/>
          </a:p>
        </c:txPr>
        <c:crossAx val="-2142591432"/>
        <c:crosses val="autoZero"/>
        <c:auto val="1"/>
        <c:lblAlgn val="ctr"/>
        <c:lblOffset val="100"/>
        <c:noMultiLvlLbl val="0"/>
      </c:catAx>
      <c:valAx>
        <c:axId val="-214259143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-2127539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877212314237"/>
          <c:y val="0.111066578881773"/>
          <c:w val="0.0944881582087596"/>
          <c:h val="0.492256152950919"/>
        </c:manualLayout>
      </c:layout>
      <c:overlay val="0"/>
      <c:spPr>
        <a:solidFill>
          <a:schemeClr val="lt1"/>
        </a:solidFill>
        <a:ln w="3175" cap="flat" cmpd="sng" algn="ctr">
          <a:solidFill>
            <a:schemeClr val="accent6"/>
          </a:solidFill>
          <a:prstDash val="solid"/>
        </a:ln>
        <a:effectLst/>
      </c:spPr>
      <c:txPr>
        <a:bodyPr/>
        <a:lstStyle/>
        <a:p>
          <a:pPr>
            <a:defRPr sz="60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image" Target="../media/image1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5</xdr:row>
      <xdr:rowOff>25401</xdr:rowOff>
    </xdr:from>
    <xdr:to>
      <xdr:col>17</xdr:col>
      <xdr:colOff>304800</xdr:colOff>
      <xdr:row>16</xdr:row>
      <xdr:rowOff>152400</xdr:rowOff>
    </xdr:to>
    <xdr:graphicFrame macro="">
      <xdr:nvGraphicFramePr>
        <xdr:cNvPr id="3" name="Gráfico 1">
          <a:extLst>
            <a:ext uri="{FF2B5EF4-FFF2-40B4-BE49-F238E27FC236}">
              <a16:creationId xmlns="" xmlns:a16="http://schemas.microsoft.com/office/drawing/2014/main" id="{60CA7D18-E5F5-4792-A752-84201699B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31751</xdr:colOff>
      <xdr:row>24</xdr:row>
      <xdr:rowOff>25402</xdr:rowOff>
    </xdr:from>
    <xdr:to>
      <xdr:col>9</xdr:col>
      <xdr:colOff>299358</xdr:colOff>
      <xdr:row>31</xdr:row>
      <xdr:rowOff>230187</xdr:rowOff>
    </xdr:to>
    <xdr:graphicFrame macro="">
      <xdr:nvGraphicFramePr>
        <xdr:cNvPr id="4" name="Gráfico 1">
          <a:extLst>
            <a:ext uri="{FF2B5EF4-FFF2-40B4-BE49-F238E27FC236}">
              <a16:creationId xmlns="" xmlns:a16="http://schemas.microsoft.com/office/drawing/2014/main" id="{60CA7D18-E5F5-4792-A752-84201699B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34018</xdr:colOff>
      <xdr:row>33</xdr:row>
      <xdr:rowOff>34019</xdr:rowOff>
    </xdr:from>
    <xdr:to>
      <xdr:col>9</xdr:col>
      <xdr:colOff>299357</xdr:colOff>
      <xdr:row>39</xdr:row>
      <xdr:rowOff>47626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74839</xdr:colOff>
      <xdr:row>0</xdr:row>
      <xdr:rowOff>13607</xdr:rowOff>
    </xdr:from>
    <xdr:to>
      <xdr:col>17</xdr:col>
      <xdr:colOff>315233</xdr:colOff>
      <xdr:row>0</xdr:row>
      <xdr:rowOff>650530</xdr:rowOff>
    </xdr:to>
    <xdr:pic>
      <xdr:nvPicPr>
        <xdr:cNvPr id="2" name="Imagen 1" descr="LLE+JAVE NUEVO H.png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37" b="12890"/>
        <a:stretch/>
      </xdr:blipFill>
      <xdr:spPr>
        <a:xfrm>
          <a:off x="3136446" y="13607"/>
          <a:ext cx="2961823" cy="6369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YECTO1/Downloads/saber11graficocon%20bu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9 (4)"/>
      <sheetName val="Hoja9 (3)"/>
      <sheetName val="Hoja9 (2)"/>
      <sheetName val="Trabajan"/>
      <sheetName val="ambos"/>
      <sheetName val="red"/>
      <sheetName val="PC"/>
      <sheetName val="Zona"/>
      <sheetName val="Sexo"/>
      <sheetName val="Sector"/>
      <sheetName val="Hoja1 (2)"/>
      <sheetName val="Hoja1"/>
      <sheetName val="Estrato"/>
      <sheetName val="Hoja8"/>
      <sheetName val="Hoja9"/>
      <sheetName val="Hoj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>
            <v>2017</v>
          </cell>
          <cell r="C1">
            <v>2018</v>
          </cell>
          <cell r="D1">
            <v>2019</v>
          </cell>
          <cell r="E1">
            <v>2020</v>
          </cell>
          <cell r="F1">
            <v>2021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tabSelected="1" zoomScale="120" zoomScaleNormal="120" zoomScalePageLayoutView="120" workbookViewId="0">
      <selection activeCell="I3" sqref="I3:R3"/>
    </sheetView>
  </sheetViews>
  <sheetFormatPr baseColWidth="10" defaultRowHeight="14" x14ac:dyDescent="0"/>
  <cols>
    <col min="1" max="21" width="5.1640625" customWidth="1"/>
  </cols>
  <sheetData>
    <row r="1" spans="1:18" ht="52.5" customHeight="1">
      <c r="A1" s="12" t="s">
        <v>118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1.2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4" customHeight="1">
      <c r="A3" s="18" t="s">
        <v>117</v>
      </c>
      <c r="B3" s="19"/>
      <c r="C3" s="19"/>
      <c r="D3" s="19"/>
      <c r="E3" s="19"/>
      <c r="F3" s="19"/>
      <c r="G3" s="19"/>
      <c r="H3" s="20"/>
      <c r="I3" s="21" t="s">
        <v>8</v>
      </c>
      <c r="J3" s="22"/>
      <c r="K3" s="22"/>
      <c r="L3" s="22"/>
      <c r="M3" s="22"/>
      <c r="N3" s="22"/>
      <c r="O3" s="22"/>
      <c r="P3" s="22"/>
      <c r="Q3" s="22"/>
      <c r="R3" s="22"/>
    </row>
    <row r="4" spans="1:18" ht="10.5" customHeight="1"/>
    <row r="5" spans="1:18">
      <c r="A5" s="14" t="s">
        <v>41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</row>
    <row r="6" spans="1:18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>
      <c r="A18" s="26" t="s">
        <v>100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ht="37.5" customHeight="1">
      <c r="A19" s="28" t="s">
        <v>115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ht="50.25" customHeight="1">
      <c r="A20" s="23" t="str">
        <f>"En el caso particular del territorio de "&amp;TEXT(I3,1)&amp;", fueron evaluados en el 2021, de calendario A, un total de "&amp;TEXT(Hoja2!G5,"#.###0")&amp;" estudiantes, lo que representa un "&amp;TEXT(Hoja2!G8,"#0,#%")&amp;" "&amp;TEXT(Hoja2!G9,1)&amp;" con respecto al 2020. Ahora bien, con respecto al 2019, antes de la pandemia, fueron evaluados un total de "&amp;TEXT(Hoja2!E5,"#.###0")&amp;" estudiantes (equivalente a una tasa de crecimiento del "&amp;TEXT(Hoja2!H8,"#0,##%")&amp;" entre el 2019 y 2021)."</f>
        <v>En el caso particular del territorio de Amazonas, fueron evaluados en el 2021, de calendario A, un total de 666 estudiantes, lo que representa un 5,7% adicional con respecto al 2020. Ahora bien, con respecto al 2019, antes de la pandemia, fueron evaluados un total de 823 estudiantes (equivalente a una tasa de crecimiento del -19,08% entre el 2019 y 2021).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</row>
    <row r="21" spans="1:18">
      <c r="A21" s="27" t="s">
        <v>101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ht="46.5" customHeight="1">
      <c r="A22" s="28" t="str">
        <f>"El puntaje promedio global de los estudiantes del sector oficial en "&amp;TEXT(I3,1)&amp;", para el 2021 fue de "&amp;TEXT(Hoja2!G6,"#,0")&amp;"; por su parte, en el sector no oficial fue de "&amp;TEXT(Hoja2!G7,"#,0")&amp;"; lo que corresponde a una brecha público-privada de "&amp;TEXT(Hoja2!L6,"#,0")&amp;". Para el 2020, los puntajes promedios fueron respectivamente, "&amp;TEXT(Hoja2!F6,"#,0")&amp;" y "&amp;TEXT(Hoja2!F7,"#,0")&amp;"; lo que equivale a una brecha de "&amp;TEXT(Hoja2!K6,"#,0")&amp;". Sin embargo, antes de la pandemia, en 2019, la brecha público-privada fue "&amp;TEXT(Hoja2!J8,1)&amp;" e igual a "&amp;TEXT(Hoja2!J6,"#,0")&amp;"."</f>
        <v>El puntaje promedio global de los estudiantes del sector oficial en Amazonas, para el 2021 fue de 210,0; por su parte, en el sector no oficial fue de 296,0; lo que corresponde a una brecha público-privada de -86,0. Para el 2020, los puntajes promedios fueron respectivamente, 217,6 y 310,2; lo que equivale a una brecha de -92,6. Sin embargo, antes de la pandemia, en 2019, la brecha público-privada fue menor e igual a -86,2.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8" ht="28.5" customHeight="1">
      <c r="A23" s="23" t="s">
        <v>119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</row>
    <row r="24" spans="1:18" ht="17.25" customHeight="1">
      <c r="A24" s="14" t="s">
        <v>102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</row>
    <row r="25" spans="1:18" ht="13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28" t="s">
        <v>120</v>
      </c>
      <c r="L25" s="29"/>
      <c r="M25" s="29"/>
      <c r="N25" s="29"/>
      <c r="O25" s="29"/>
      <c r="P25" s="29"/>
      <c r="Q25" s="29"/>
      <c r="R25" s="30"/>
    </row>
    <row r="26" spans="1:18" ht="13.5" customHeight="1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46"/>
      <c r="L26" s="47"/>
      <c r="M26" s="47"/>
      <c r="N26" s="47"/>
      <c r="O26" s="47"/>
      <c r="P26" s="47"/>
      <c r="Q26" s="47"/>
      <c r="R26" s="48"/>
    </row>
    <row r="27" spans="1:18" ht="13.5" customHeight="1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46"/>
      <c r="L27" s="47"/>
      <c r="M27" s="47"/>
      <c r="N27" s="47"/>
      <c r="O27" s="47"/>
      <c r="P27" s="47"/>
      <c r="Q27" s="47"/>
      <c r="R27" s="48"/>
    </row>
    <row r="28" spans="1:18" ht="13.5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46"/>
      <c r="L28" s="47"/>
      <c r="M28" s="47"/>
      <c r="N28" s="47"/>
      <c r="O28" s="47"/>
      <c r="P28" s="47"/>
      <c r="Q28" s="47"/>
      <c r="R28" s="48"/>
    </row>
    <row r="29" spans="1:18" ht="13.5" customHeight="1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46"/>
      <c r="L29" s="47"/>
      <c r="M29" s="47"/>
      <c r="N29" s="47"/>
      <c r="O29" s="47"/>
      <c r="P29" s="47"/>
      <c r="Q29" s="47"/>
      <c r="R29" s="48"/>
    </row>
    <row r="30" spans="1:18" ht="13.5" customHeight="1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46"/>
      <c r="L30" s="47"/>
      <c r="M30" s="47"/>
      <c r="N30" s="47"/>
      <c r="O30" s="47"/>
      <c r="P30" s="47"/>
      <c r="Q30" s="47"/>
      <c r="R30" s="48"/>
    </row>
    <row r="31" spans="1:18" ht="17.25" customHeight="1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46" t="str">
        <f>"Entre el 2017 y 2021, en promedio, en "&amp;TEXT(I3,1)&amp;", el "&amp;TEXT(Hoja2!J4,"#0,#%")&amp;" de los estudiantes evaluados son del sector oficial. "</f>
        <v xml:space="preserve">Entre el 2017 y 2021, en promedio, en Amazonas, el 96,7% de los estudiantes evaluados son del sector oficial. </v>
      </c>
      <c r="L31" s="47"/>
      <c r="M31" s="47"/>
      <c r="N31" s="47"/>
      <c r="O31" s="47"/>
      <c r="P31" s="47"/>
      <c r="Q31" s="47"/>
      <c r="R31" s="48"/>
    </row>
    <row r="32" spans="1:18" ht="20.25" customHeight="1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23"/>
      <c r="L32" s="24"/>
      <c r="M32" s="24"/>
      <c r="N32" s="24"/>
      <c r="O32" s="24"/>
      <c r="P32" s="24"/>
      <c r="Q32" s="24"/>
      <c r="R32" s="25"/>
    </row>
    <row r="33" spans="1:18" ht="18" customHeight="1">
      <c r="A33" s="14" t="s">
        <v>104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</row>
    <row r="34" spans="1:18" ht="15" customHeight="1">
      <c r="A34" s="37"/>
      <c r="B34" s="38"/>
      <c r="C34" s="38"/>
      <c r="D34" s="38"/>
      <c r="E34" s="38"/>
      <c r="F34" s="38"/>
      <c r="G34" s="38"/>
      <c r="H34" s="38"/>
      <c r="I34" s="38"/>
      <c r="J34" s="39"/>
      <c r="K34" s="28" t="s">
        <v>116</v>
      </c>
      <c r="L34" s="29"/>
      <c r="M34" s="29"/>
      <c r="N34" s="29"/>
      <c r="O34" s="29"/>
      <c r="P34" s="29"/>
      <c r="Q34" s="29"/>
      <c r="R34" s="30"/>
    </row>
    <row r="35" spans="1:18">
      <c r="A35" s="40"/>
      <c r="B35" s="41"/>
      <c r="C35" s="41"/>
      <c r="D35" s="41"/>
      <c r="E35" s="41"/>
      <c r="F35" s="41"/>
      <c r="G35" s="41"/>
      <c r="H35" s="41"/>
      <c r="I35" s="41"/>
      <c r="J35" s="42"/>
      <c r="K35" s="46"/>
      <c r="L35" s="47"/>
      <c r="M35" s="47"/>
      <c r="N35" s="47"/>
      <c r="O35" s="47"/>
      <c r="P35" s="47"/>
      <c r="Q35" s="47"/>
      <c r="R35" s="48"/>
    </row>
    <row r="36" spans="1:18">
      <c r="A36" s="40"/>
      <c r="B36" s="41"/>
      <c r="C36" s="41"/>
      <c r="D36" s="41"/>
      <c r="E36" s="41"/>
      <c r="F36" s="41"/>
      <c r="G36" s="41"/>
      <c r="H36" s="41"/>
      <c r="I36" s="41"/>
      <c r="J36" s="42"/>
      <c r="K36" s="46"/>
      <c r="L36" s="47"/>
      <c r="M36" s="47"/>
      <c r="N36" s="47"/>
      <c r="O36" s="47"/>
      <c r="P36" s="47"/>
      <c r="Q36" s="47"/>
      <c r="R36" s="48"/>
    </row>
    <row r="37" spans="1:18">
      <c r="A37" s="40"/>
      <c r="B37" s="41"/>
      <c r="C37" s="41"/>
      <c r="D37" s="41"/>
      <c r="E37" s="41"/>
      <c r="F37" s="41"/>
      <c r="G37" s="41"/>
      <c r="H37" s="41"/>
      <c r="I37" s="41"/>
      <c r="J37" s="42"/>
      <c r="K37" s="46"/>
      <c r="L37" s="47"/>
      <c r="M37" s="47"/>
      <c r="N37" s="47"/>
      <c r="O37" s="47"/>
      <c r="P37" s="47"/>
      <c r="Q37" s="47"/>
      <c r="R37" s="48"/>
    </row>
    <row r="38" spans="1:18" ht="34.5" customHeight="1">
      <c r="A38" s="40"/>
      <c r="B38" s="41"/>
      <c r="C38" s="41"/>
      <c r="D38" s="41"/>
      <c r="E38" s="41"/>
      <c r="F38" s="41"/>
      <c r="G38" s="41"/>
      <c r="H38" s="41"/>
      <c r="I38" s="41"/>
      <c r="J38" s="42"/>
      <c r="K38" s="46"/>
      <c r="L38" s="47"/>
      <c r="M38" s="47"/>
      <c r="N38" s="47"/>
      <c r="O38" s="47"/>
      <c r="P38" s="47"/>
      <c r="Q38" s="47"/>
      <c r="R38" s="48"/>
    </row>
    <row r="39" spans="1:18" ht="15" customHeight="1">
      <c r="A39" s="40"/>
      <c r="B39" s="41"/>
      <c r="C39" s="41"/>
      <c r="D39" s="41"/>
      <c r="E39" s="41"/>
      <c r="F39" s="41"/>
      <c r="G39" s="41"/>
      <c r="H39" s="41"/>
      <c r="I39" s="41"/>
      <c r="J39" s="42"/>
      <c r="K39" s="46" t="str">
        <f>"En "&amp;TEXT(I3,1)&amp;" y en el 2021, el "&amp;TEXT(PC!R6,"#,#")&amp;"% de los estudiantes evaluados tenían computador y el "&amp;TEXT(PC!R8,"#,#")&amp;"%."</f>
        <v>En Amazonas y en el 2021, el 36,5% de los estudiantes evaluados tenían computador y el 23,1%.</v>
      </c>
      <c r="L39" s="47"/>
      <c r="M39" s="47"/>
      <c r="N39" s="47"/>
      <c r="O39" s="47"/>
      <c r="P39" s="47"/>
      <c r="Q39" s="47"/>
      <c r="R39" s="48"/>
    </row>
    <row r="40" spans="1:18" ht="8.25" customHeight="1">
      <c r="A40" s="43"/>
      <c r="B40" s="44"/>
      <c r="C40" s="44"/>
      <c r="D40" s="44"/>
      <c r="E40" s="44"/>
      <c r="F40" s="44"/>
      <c r="G40" s="44"/>
      <c r="H40" s="44"/>
      <c r="I40" s="44"/>
      <c r="J40" s="45"/>
      <c r="K40" s="23"/>
      <c r="L40" s="24"/>
      <c r="M40" s="24"/>
      <c r="N40" s="24"/>
      <c r="O40" s="24"/>
      <c r="P40" s="24"/>
      <c r="Q40" s="24"/>
      <c r="R40" s="25"/>
    </row>
  </sheetData>
  <sheetProtection password="91DD" sheet="1" objects="1" scenarios="1"/>
  <protectedRanges>
    <protectedRange sqref="I3:R3" name="Rango1"/>
  </protectedRanges>
  <mergeCells count="19">
    <mergeCell ref="A25:J32"/>
    <mergeCell ref="A23:R23"/>
    <mergeCell ref="A33:R33"/>
    <mergeCell ref="A34:J40"/>
    <mergeCell ref="K25:R30"/>
    <mergeCell ref="K31:R32"/>
    <mergeCell ref="K34:R38"/>
    <mergeCell ref="K39:R40"/>
    <mergeCell ref="A20:R20"/>
    <mergeCell ref="A18:R18"/>
    <mergeCell ref="A21:R21"/>
    <mergeCell ref="A22:R22"/>
    <mergeCell ref="A24:R24"/>
    <mergeCell ref="A19:R19"/>
    <mergeCell ref="A1:R1"/>
    <mergeCell ref="A5:R5"/>
    <mergeCell ref="A6:R17"/>
    <mergeCell ref="A3:H3"/>
    <mergeCell ref="I3:R3"/>
  </mergeCells>
  <dataValidations count="1">
    <dataValidation type="list" allowBlank="1" showInputMessage="1" showErrorMessage="1" sqref="I3:R3">
      <formula1>dpto</formula1>
    </dataValidation>
  </dataValidations>
  <printOptions horizontalCentered="1" verticalCentered="1"/>
  <pageMargins left="0.51181102362204722" right="0.51181102362204722" top="0.39370078740157483" bottom="0.39370078740157483" header="0.31496062992125984" footer="0.31496062992125984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workbookViewId="0">
      <selection activeCell="H34" sqref="H34"/>
    </sheetView>
  </sheetViews>
  <sheetFormatPr baseColWidth="10" defaultRowHeight="14" x14ac:dyDescent="0"/>
  <cols>
    <col min="1" max="1" width="18.5" bestFit="1" customWidth="1"/>
    <col min="2" max="2" width="26.5" customWidth="1"/>
  </cols>
  <sheetData>
    <row r="2" spans="1:13">
      <c r="A2" t="str">
        <f>Informe!I3</f>
        <v>Amazonas</v>
      </c>
      <c r="B2" t="s">
        <v>0</v>
      </c>
      <c r="C2">
        <v>2017</v>
      </c>
      <c r="D2">
        <v>2018</v>
      </c>
      <c r="E2">
        <v>2019</v>
      </c>
      <c r="F2">
        <v>2020</v>
      </c>
      <c r="G2">
        <v>2021</v>
      </c>
      <c r="I2">
        <v>2017</v>
      </c>
      <c r="J2">
        <v>2018</v>
      </c>
      <c r="K2">
        <v>2019</v>
      </c>
      <c r="L2">
        <v>2020</v>
      </c>
      <c r="M2">
        <v>2021</v>
      </c>
    </row>
    <row r="3" spans="1:13">
      <c r="A3">
        <v>1</v>
      </c>
      <c r="B3" t="s">
        <v>1</v>
      </c>
      <c r="C3" s="2">
        <f>IFERROR(VLOOKUP(CONCATENATE($A$2,$A$3),Base!$C$2:$M$127,3,0),"")</f>
        <v>809</v>
      </c>
      <c r="D3" s="2">
        <f>IFERROR(VLOOKUP(CONCATENATE($A$2,$A$3),Base!$C$2:$M$127,5,0),"")</f>
        <v>957</v>
      </c>
      <c r="E3" s="2">
        <f>IFERROR(VLOOKUP(CONCATENATE($A$2,$A$3),Base!$C$2:$M$127,7,0),"")</f>
        <v>795</v>
      </c>
      <c r="F3" s="2">
        <f>IFERROR(VLOOKUP(CONCATENATE($A$2,$A$3),Base!$C$2:$M$127,9,0),"")</f>
        <v>607</v>
      </c>
      <c r="G3" s="2">
        <f>IFERROR(VLOOKUP(CONCATENATE($A$2,$A$3),Base!$C$2:$M$127,11,0),"")</f>
        <v>642</v>
      </c>
      <c r="H3" t="s">
        <v>103</v>
      </c>
      <c r="I3" s="5">
        <f>C3/C5</f>
        <v>0.95739644970414206</v>
      </c>
      <c r="J3" s="5">
        <f>D3/D5</f>
        <v>0.9785276073619632</v>
      </c>
      <c r="K3" s="5">
        <f>E3/E5</f>
        <v>0.96597812879708389</v>
      </c>
      <c r="L3" s="5">
        <f>F3/F5</f>
        <v>0.96349206349206351</v>
      </c>
      <c r="M3" s="5">
        <f>G3/G5</f>
        <v>0.963963963963964</v>
      </c>
    </row>
    <row r="4" spans="1:13">
      <c r="A4">
        <v>2</v>
      </c>
      <c r="B4" t="s">
        <v>2</v>
      </c>
      <c r="C4" s="2">
        <f>IFERROR(VLOOKUP(CONCATENATE($A$2,$A$3),Base!$C$2:$M$127,2,0),"")</f>
        <v>36</v>
      </c>
      <c r="D4" s="2">
        <f>IFERROR(VLOOKUP(CONCATENATE($A$2,$A$3),Base!$C$2:$M$127,4,0),"")</f>
        <v>21</v>
      </c>
      <c r="E4" s="2">
        <f>IFERROR(VLOOKUP(CONCATENATE($A$2,$A$3),Base!$C$2:$M$127,6,0),"")</f>
        <v>28</v>
      </c>
      <c r="F4" s="2">
        <f>IFERROR(VLOOKUP(CONCATENATE($A$2,$A$3),Base!$C$2:$M$127,8,0),"")</f>
        <v>23</v>
      </c>
      <c r="G4" s="2">
        <f>IFERROR(VLOOKUP(CONCATENATE($A$2,$A$3),Base!$C$2:$M$127,10,0),"")</f>
        <v>24</v>
      </c>
      <c r="I4" s="10">
        <f>AVERAGE(I3:M3)</f>
        <v>0.96587164266384329</v>
      </c>
      <c r="J4" s="10">
        <f>AVERAGE(I3:K3)</f>
        <v>0.96730072862106298</v>
      </c>
      <c r="K4" s="10">
        <f>AVERAGE(L3:M3)</f>
        <v>0.96372801372801375</v>
      </c>
    </row>
    <row r="5" spans="1:13">
      <c r="B5" t="s">
        <v>5</v>
      </c>
      <c r="C5" s="2">
        <f>SUM(C3:C4)</f>
        <v>845</v>
      </c>
      <c r="D5" s="2">
        <f t="shared" ref="D5:G5" si="0">SUM(D3:D4)</f>
        <v>978</v>
      </c>
      <c r="E5" s="2">
        <f t="shared" si="0"/>
        <v>823</v>
      </c>
      <c r="F5" s="2">
        <f t="shared" si="0"/>
        <v>630</v>
      </c>
      <c r="G5" s="2">
        <f t="shared" si="0"/>
        <v>666</v>
      </c>
    </row>
    <row r="6" spans="1:13">
      <c r="B6" t="s">
        <v>3</v>
      </c>
      <c r="C6" s="9">
        <f>IFERROR(VLOOKUP(CONCATENATE($A$2,$A$4),Base!$C$2:$M$127,3,0),"")</f>
        <v>223.02699999999999</v>
      </c>
      <c r="D6" s="9">
        <f>IFERROR(VLOOKUP(CONCATENATE($A$2,$A$4),Base!$C$2:$M$127,5,0),"")</f>
        <v>214.73699999999999</v>
      </c>
      <c r="E6" s="9">
        <f>IFERROR(VLOOKUP(CONCATENATE($A$2,$A$4),Base!$C$2:$M$127,7,0),"")</f>
        <v>210.029</v>
      </c>
      <c r="F6" s="9">
        <f>IFERROR(VLOOKUP(CONCATENATE($A$2,$A$4),Base!$C$2:$M$127,9,0),"")</f>
        <v>217.57300000000001</v>
      </c>
      <c r="G6" s="9">
        <f>IFERROR(VLOOKUP(CONCATENATE($A$2,$A$4),Base!$C$2:$M$127,11,0),"")</f>
        <v>210.03899999999999</v>
      </c>
      <c r="H6" s="3">
        <f>IFERROR(C6-C7,"")</f>
        <v>-84.528999999999996</v>
      </c>
      <c r="I6" s="3">
        <f t="shared" ref="I6:L6" si="1">IFERROR(D6-D7,"")</f>
        <v>-101.31100000000001</v>
      </c>
      <c r="J6" s="3">
        <f t="shared" si="1"/>
        <v>-86.185000000000002</v>
      </c>
      <c r="K6" s="3">
        <f t="shared" si="1"/>
        <v>-92.600999999999971</v>
      </c>
      <c r="L6" s="3">
        <f t="shared" si="1"/>
        <v>-85.961000000000013</v>
      </c>
    </row>
    <row r="7" spans="1:13">
      <c r="B7" t="s">
        <v>4</v>
      </c>
      <c r="C7" s="9">
        <f>IFERROR(VLOOKUP(CONCATENATE($A$2,$A$4),Base!$C$2:$M$127,2,0),"")</f>
        <v>307.55599999999998</v>
      </c>
      <c r="D7" s="9">
        <f>IFERROR(VLOOKUP(CONCATENATE($A$2,$A$4),Base!$C$2:$M$127,4,0),"")</f>
        <v>316.048</v>
      </c>
      <c r="E7" s="9">
        <f>IFERROR(VLOOKUP(CONCATENATE($A$2,$A$4),Base!$C$2:$M$127,6,0),"")</f>
        <v>296.214</v>
      </c>
      <c r="F7" s="9">
        <f>IFERROR(VLOOKUP(CONCATENATE($A$2,$A$4),Base!$C$2:$M$127,8,0),"")</f>
        <v>310.17399999999998</v>
      </c>
      <c r="G7" s="9">
        <f>IFERROR(VLOOKUP(CONCATENATE($A$2,$A$4),Base!$C$2:$M$127,10,0),"")</f>
        <v>296</v>
      </c>
    </row>
    <row r="8" spans="1:13">
      <c r="C8" s="4">
        <f>AVERAGE(C5:E5)</f>
        <v>882</v>
      </c>
      <c r="D8" s="4"/>
      <c r="E8" s="4"/>
      <c r="F8" s="4"/>
      <c r="G8" s="5">
        <f>G5/F5-1</f>
        <v>5.7142857142857162E-2</v>
      </c>
      <c r="H8" s="5">
        <f>G5/E5-1</f>
        <v>-0.19076549210206561</v>
      </c>
      <c r="J8" t="str">
        <f>IF(J6&gt;K6,"menor","mayor")</f>
        <v>menor</v>
      </c>
    </row>
    <row r="9" spans="1:13">
      <c r="G9" t="str">
        <f>IF(G8&gt;0,"adicional","menos")</f>
        <v>adicional</v>
      </c>
      <c r="H9" t="str">
        <f>IF(H8&gt;0,"adicional","menos")</f>
        <v>menos</v>
      </c>
    </row>
    <row r="10" spans="1:13">
      <c r="B10" s="49" t="s">
        <v>6</v>
      </c>
      <c r="C10" s="49" t="s">
        <v>7</v>
      </c>
    </row>
    <row r="11" spans="1:13" ht="15" thickBot="1">
      <c r="B11" s="49"/>
      <c r="C11" s="49"/>
      <c r="E11" s="8" t="s">
        <v>7</v>
      </c>
      <c r="G11" t="s">
        <v>42</v>
      </c>
      <c r="H11" t="s">
        <v>75</v>
      </c>
    </row>
    <row r="12" spans="1:13" ht="15" thickBot="1">
      <c r="B12" s="49" t="s">
        <v>75</v>
      </c>
      <c r="C12" s="6" t="s">
        <v>8</v>
      </c>
      <c r="E12" s="6" t="s">
        <v>8</v>
      </c>
      <c r="G12" t="s">
        <v>43</v>
      </c>
      <c r="H12" t="s">
        <v>78</v>
      </c>
    </row>
    <row r="13" spans="1:13" ht="15" thickBot="1">
      <c r="B13" s="49"/>
      <c r="C13" s="7" t="s">
        <v>9</v>
      </c>
      <c r="E13" s="7" t="s">
        <v>26</v>
      </c>
      <c r="G13" t="s">
        <v>44</v>
      </c>
      <c r="H13" t="s">
        <v>80</v>
      </c>
    </row>
    <row r="14" spans="1:13" ht="15" thickBot="1">
      <c r="B14" s="49"/>
      <c r="C14" s="7" t="s">
        <v>10</v>
      </c>
      <c r="E14" s="7" t="s">
        <v>31</v>
      </c>
      <c r="G14" t="s">
        <v>45</v>
      </c>
      <c r="H14" t="s">
        <v>76</v>
      </c>
    </row>
    <row r="15" spans="1:13" ht="15" thickBot="1">
      <c r="B15" s="49"/>
      <c r="C15" s="7" t="s">
        <v>11</v>
      </c>
      <c r="E15" s="7" t="s">
        <v>14</v>
      </c>
      <c r="G15" t="s">
        <v>46</v>
      </c>
      <c r="H15" t="s">
        <v>77</v>
      </c>
    </row>
    <row r="16" spans="1:13" ht="15" thickBot="1">
      <c r="B16" s="49"/>
      <c r="C16" s="7" t="s">
        <v>12</v>
      </c>
      <c r="E16" s="7" t="s">
        <v>21</v>
      </c>
      <c r="G16" t="s">
        <v>47</v>
      </c>
      <c r="H16" t="s">
        <v>76</v>
      </c>
    </row>
    <row r="17" spans="2:8" ht="15" thickBot="1">
      <c r="B17" s="49"/>
      <c r="C17" s="7" t="s">
        <v>13</v>
      </c>
      <c r="E17" s="7" t="s">
        <v>15</v>
      </c>
      <c r="G17" t="s">
        <v>48</v>
      </c>
      <c r="H17" t="s">
        <v>77</v>
      </c>
    </row>
    <row r="18" spans="2:8" ht="15" thickBot="1">
      <c r="B18" s="49" t="s">
        <v>76</v>
      </c>
      <c r="C18" s="6" t="s">
        <v>14</v>
      </c>
      <c r="E18" s="6" t="s">
        <v>22</v>
      </c>
      <c r="G18" t="s">
        <v>49</v>
      </c>
      <c r="H18" t="s">
        <v>78</v>
      </c>
    </row>
    <row r="19" spans="2:8" ht="15" thickBot="1">
      <c r="B19" s="49"/>
      <c r="C19" s="7" t="s">
        <v>15</v>
      </c>
      <c r="E19" s="7" t="s">
        <v>27</v>
      </c>
      <c r="G19" t="s">
        <v>50</v>
      </c>
      <c r="H19" t="s">
        <v>75</v>
      </c>
    </row>
    <row r="20" spans="2:8" ht="15" thickBot="1">
      <c r="B20" s="49"/>
      <c r="C20" s="7" t="s">
        <v>16</v>
      </c>
      <c r="E20" s="7" t="s">
        <v>9</v>
      </c>
      <c r="G20" t="s">
        <v>51</v>
      </c>
      <c r="H20" t="s">
        <v>80</v>
      </c>
    </row>
    <row r="21" spans="2:8" ht="15" thickBot="1">
      <c r="B21" s="49"/>
      <c r="C21" s="7" t="s">
        <v>17</v>
      </c>
      <c r="E21" s="7" t="s">
        <v>32</v>
      </c>
      <c r="G21" t="s">
        <v>52</v>
      </c>
      <c r="H21" t="s">
        <v>81</v>
      </c>
    </row>
    <row r="22" spans="2:8" ht="15" thickBot="1">
      <c r="B22" s="49"/>
      <c r="C22" s="7" t="s">
        <v>18</v>
      </c>
      <c r="E22" s="7" t="s">
        <v>35</v>
      </c>
      <c r="G22" t="s">
        <v>53</v>
      </c>
      <c r="H22" t="s">
        <v>76</v>
      </c>
    </row>
    <row r="23" spans="2:8" ht="15" thickBot="1">
      <c r="B23" s="49"/>
      <c r="C23" s="7" t="s">
        <v>19</v>
      </c>
      <c r="E23" s="7" t="s">
        <v>16</v>
      </c>
      <c r="G23" t="s">
        <v>54</v>
      </c>
      <c r="H23" t="s">
        <v>81</v>
      </c>
    </row>
    <row r="24" spans="2:8" ht="15" thickBot="1">
      <c r="B24" s="49"/>
      <c r="C24" s="7" t="s">
        <v>20</v>
      </c>
      <c r="E24" s="7" t="s">
        <v>36</v>
      </c>
      <c r="G24" t="s">
        <v>55</v>
      </c>
      <c r="H24" t="s">
        <v>76</v>
      </c>
    </row>
    <row r="25" spans="2:8" ht="15" thickBot="1">
      <c r="B25" s="49" t="s">
        <v>77</v>
      </c>
      <c r="C25" s="6" t="s">
        <v>21</v>
      </c>
      <c r="E25" s="6" t="s">
        <v>17</v>
      </c>
      <c r="G25" t="s">
        <v>56</v>
      </c>
      <c r="H25" t="s">
        <v>77</v>
      </c>
    </row>
    <row r="26" spans="2:8" ht="15" thickBot="1">
      <c r="B26" s="49"/>
      <c r="C26" s="7" t="s">
        <v>22</v>
      </c>
      <c r="E26" s="7" t="s">
        <v>23</v>
      </c>
      <c r="G26" t="s">
        <v>57</v>
      </c>
      <c r="H26" t="s">
        <v>75</v>
      </c>
    </row>
    <row r="27" spans="2:8" ht="15" thickBot="1">
      <c r="B27" s="49"/>
      <c r="C27" s="7" t="s">
        <v>23</v>
      </c>
      <c r="E27" s="7" t="s">
        <v>10</v>
      </c>
      <c r="G27" t="s">
        <v>58</v>
      </c>
      <c r="H27" t="s">
        <v>75</v>
      </c>
    </row>
    <row r="28" spans="2:8" ht="15" thickBot="1">
      <c r="B28" s="49"/>
      <c r="C28" s="7" t="s">
        <v>24</v>
      </c>
      <c r="E28" s="7" t="s">
        <v>11</v>
      </c>
      <c r="G28" t="s">
        <v>59</v>
      </c>
      <c r="H28" t="s">
        <v>77</v>
      </c>
    </row>
    <row r="29" spans="2:8" ht="15" thickBot="1">
      <c r="B29" s="49"/>
      <c r="C29" s="7" t="s">
        <v>25</v>
      </c>
      <c r="E29" s="7" t="s">
        <v>24</v>
      </c>
      <c r="G29" t="s">
        <v>60</v>
      </c>
      <c r="H29" t="s">
        <v>76</v>
      </c>
    </row>
    <row r="30" spans="2:8" ht="15" thickBot="1">
      <c r="B30" s="49" t="s">
        <v>78</v>
      </c>
      <c r="C30" s="6" t="s">
        <v>26</v>
      </c>
      <c r="E30" s="6" t="s">
        <v>18</v>
      </c>
      <c r="G30" t="s">
        <v>61</v>
      </c>
      <c r="H30" t="s">
        <v>76</v>
      </c>
    </row>
    <row r="31" spans="2:8" ht="15" thickBot="1">
      <c r="B31" s="49"/>
      <c r="C31" s="7" t="s">
        <v>27</v>
      </c>
      <c r="E31" s="7" t="s">
        <v>19</v>
      </c>
      <c r="G31" t="s">
        <v>62</v>
      </c>
      <c r="H31" t="s">
        <v>80</v>
      </c>
    </row>
    <row r="32" spans="2:8" ht="15" thickBot="1">
      <c r="B32" s="49"/>
      <c r="C32" s="7" t="s">
        <v>28</v>
      </c>
      <c r="E32" s="7" t="s">
        <v>33</v>
      </c>
      <c r="G32" t="s">
        <v>63</v>
      </c>
      <c r="H32" t="s">
        <v>81</v>
      </c>
    </row>
    <row r="33" spans="2:8" ht="15" thickBot="1">
      <c r="B33" s="49"/>
      <c r="C33" s="7" t="s">
        <v>29</v>
      </c>
      <c r="E33" s="7" t="s">
        <v>37</v>
      </c>
      <c r="G33" t="s">
        <v>64</v>
      </c>
      <c r="H33" t="s">
        <v>82</v>
      </c>
    </row>
    <row r="34" spans="2:8" ht="23" thickBot="1">
      <c r="B34" t="s">
        <v>79</v>
      </c>
      <c r="C34" s="6" t="s">
        <v>30</v>
      </c>
      <c r="E34" s="6" t="s">
        <v>39</v>
      </c>
      <c r="G34" t="s">
        <v>65</v>
      </c>
      <c r="H34" t="s">
        <v>75</v>
      </c>
    </row>
    <row r="35" spans="2:8" ht="15" thickBot="1">
      <c r="B35" s="49" t="s">
        <v>114</v>
      </c>
      <c r="C35" s="7" t="s">
        <v>31</v>
      </c>
      <c r="E35" s="7" t="s">
        <v>12</v>
      </c>
      <c r="G35" t="s">
        <v>66</v>
      </c>
      <c r="H35" t="s">
        <v>78</v>
      </c>
    </row>
    <row r="36" spans="2:8" ht="15" thickBot="1">
      <c r="B36" s="49"/>
      <c r="C36" s="7" t="s">
        <v>32</v>
      </c>
      <c r="E36" s="7" t="s">
        <v>28</v>
      </c>
      <c r="G36" t="s">
        <v>67</v>
      </c>
      <c r="H36" t="s">
        <v>78</v>
      </c>
    </row>
    <row r="37" spans="2:8" ht="15" thickBot="1">
      <c r="B37" s="49"/>
      <c r="C37" s="7" t="s">
        <v>33</v>
      </c>
      <c r="E37" s="7" t="s">
        <v>29</v>
      </c>
      <c r="G37" t="s">
        <v>68</v>
      </c>
      <c r="H37" t="s">
        <v>79</v>
      </c>
    </row>
    <row r="38" spans="2:8" ht="15" thickBot="1">
      <c r="B38" s="49"/>
      <c r="C38" s="7" t="s">
        <v>34</v>
      </c>
      <c r="E38" s="7" t="s">
        <v>30</v>
      </c>
      <c r="G38" t="s">
        <v>69</v>
      </c>
      <c r="H38" t="s">
        <v>82</v>
      </c>
    </row>
    <row r="39" spans="2:8" ht="15" thickBot="1">
      <c r="B39" s="49" t="s">
        <v>81</v>
      </c>
      <c r="C39" s="6" t="s">
        <v>35</v>
      </c>
      <c r="E39" s="6" t="s">
        <v>40</v>
      </c>
      <c r="G39" t="s">
        <v>70</v>
      </c>
      <c r="H39" t="s">
        <v>76</v>
      </c>
    </row>
    <row r="40" spans="2:8" ht="15" thickBot="1">
      <c r="B40" s="49"/>
      <c r="C40" s="7" t="s">
        <v>36</v>
      </c>
      <c r="E40" s="7" t="s">
        <v>20</v>
      </c>
      <c r="G40" t="s">
        <v>71</v>
      </c>
      <c r="H40" t="s">
        <v>77</v>
      </c>
    </row>
    <row r="41" spans="2:8" ht="15" thickBot="1">
      <c r="B41" s="49"/>
      <c r="C41" s="7" t="s">
        <v>37</v>
      </c>
      <c r="E41" s="7" t="s">
        <v>25</v>
      </c>
      <c r="G41" t="s">
        <v>72</v>
      </c>
      <c r="H41" t="s">
        <v>81</v>
      </c>
    </row>
    <row r="42" spans="2:8" ht="15" thickBot="1">
      <c r="B42" s="49"/>
      <c r="C42" s="7" t="s">
        <v>38</v>
      </c>
      <c r="E42" s="7" t="s">
        <v>38</v>
      </c>
      <c r="G42" t="s">
        <v>73</v>
      </c>
      <c r="H42" t="s">
        <v>75</v>
      </c>
    </row>
    <row r="43" spans="2:8" ht="23" thickBot="1">
      <c r="B43" s="49" t="s">
        <v>82</v>
      </c>
      <c r="C43" s="6" t="s">
        <v>39</v>
      </c>
      <c r="E43" s="6" t="s">
        <v>13</v>
      </c>
      <c r="G43" t="s">
        <v>74</v>
      </c>
      <c r="H43" t="s">
        <v>80</v>
      </c>
    </row>
    <row r="44" spans="2:8" ht="15" thickBot="1">
      <c r="B44" s="49"/>
      <c r="C44" s="7" t="s">
        <v>40</v>
      </c>
      <c r="E44" s="7" t="s">
        <v>34</v>
      </c>
    </row>
  </sheetData>
  <sortState ref="E12:E44">
    <sortCondition ref="E11"/>
  </sortState>
  <mergeCells count="9">
    <mergeCell ref="B35:B38"/>
    <mergeCell ref="B39:B42"/>
    <mergeCell ref="B43:B44"/>
    <mergeCell ref="B10:B11"/>
    <mergeCell ref="C10:C11"/>
    <mergeCell ref="B12:B17"/>
    <mergeCell ref="B18:B24"/>
    <mergeCell ref="B25:B29"/>
    <mergeCell ref="B30:B3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7"/>
  <sheetViews>
    <sheetView topLeftCell="A6" workbookViewId="0">
      <selection activeCell="D18" sqref="D18"/>
    </sheetView>
  </sheetViews>
  <sheetFormatPr baseColWidth="10" defaultRowHeight="14" x14ac:dyDescent="0"/>
  <sheetData>
    <row r="1" spans="1:25">
      <c r="D1" s="49">
        <v>2017</v>
      </c>
      <c r="E1" s="49"/>
      <c r="F1" s="49">
        <f>D1+1</f>
        <v>2018</v>
      </c>
      <c r="G1" s="49"/>
      <c r="H1" s="49">
        <f>F1+1</f>
        <v>2019</v>
      </c>
      <c r="I1" s="49"/>
      <c r="J1" s="49">
        <f>H1+1</f>
        <v>2020</v>
      </c>
      <c r="K1" s="49"/>
      <c r="L1" s="49">
        <f>J1+1</f>
        <v>2021</v>
      </c>
      <c r="M1" s="49"/>
    </row>
    <row r="2" spans="1:25">
      <c r="D2" s="1" t="s">
        <v>94</v>
      </c>
      <c r="E2" s="1" t="s">
        <v>95</v>
      </c>
      <c r="F2" s="1" t="s">
        <v>94</v>
      </c>
      <c r="G2" s="1" t="s">
        <v>95</v>
      </c>
      <c r="H2" s="1" t="s">
        <v>94</v>
      </c>
      <c r="I2" s="1" t="s">
        <v>95</v>
      </c>
      <c r="J2" s="1" t="s">
        <v>94</v>
      </c>
      <c r="K2" s="1" t="s">
        <v>95</v>
      </c>
      <c r="L2" s="1" t="s">
        <v>94</v>
      </c>
      <c r="M2" s="1" t="s">
        <v>95</v>
      </c>
    </row>
    <row r="3" spans="1:25">
      <c r="A3" t="s">
        <v>42</v>
      </c>
      <c r="B3">
        <v>1</v>
      </c>
      <c r="C3" t="str">
        <f>CONCATENATE(A3,B3)</f>
        <v>AMAZONAS1</v>
      </c>
      <c r="D3">
        <v>36</v>
      </c>
      <c r="E3">
        <v>809</v>
      </c>
      <c r="F3">
        <v>21</v>
      </c>
      <c r="G3">
        <v>957</v>
      </c>
      <c r="H3">
        <v>28</v>
      </c>
      <c r="I3">
        <v>795</v>
      </c>
      <c r="J3">
        <v>23</v>
      </c>
      <c r="K3">
        <v>607</v>
      </c>
      <c r="L3">
        <v>24</v>
      </c>
      <c r="M3">
        <v>642</v>
      </c>
      <c r="O3" s="5">
        <f>E3/SUM(D3:E3)</f>
        <v>0.95739644970414206</v>
      </c>
      <c r="P3" s="5"/>
      <c r="Q3" s="5">
        <f>G3/SUM(F3:G3)</f>
        <v>0.9785276073619632</v>
      </c>
      <c r="S3" s="5">
        <f>I3/SUM(H3:I3)</f>
        <v>0.96597812879708389</v>
      </c>
      <c r="U3" s="5">
        <f>K3/SUM(J3:K3)</f>
        <v>0.96349206349206351</v>
      </c>
      <c r="W3" s="5">
        <f>AVERAGE(O3:U3)</f>
        <v>0.96634856233881317</v>
      </c>
      <c r="Y3" s="5"/>
    </row>
    <row r="4" spans="1:25">
      <c r="A4" t="s">
        <v>42</v>
      </c>
      <c r="B4">
        <v>2</v>
      </c>
      <c r="C4" t="str">
        <f t="shared" ref="C4:C67" si="0">CONCATENATE(A4,B4)</f>
        <v>AMAZONAS2</v>
      </c>
      <c r="D4">
        <v>307.55599999999998</v>
      </c>
      <c r="E4">
        <v>223.02699999999999</v>
      </c>
      <c r="F4">
        <v>316.048</v>
      </c>
      <c r="G4">
        <v>214.73699999999999</v>
      </c>
      <c r="H4">
        <v>296.214</v>
      </c>
      <c r="I4">
        <v>210.029</v>
      </c>
      <c r="J4">
        <v>310.17399999999998</v>
      </c>
      <c r="K4">
        <v>217.57300000000001</v>
      </c>
      <c r="L4">
        <v>296</v>
      </c>
      <c r="M4">
        <v>210.03899999999999</v>
      </c>
    </row>
    <row r="5" spans="1:25">
      <c r="C5" t="str">
        <f t="shared" si="0"/>
        <v/>
      </c>
    </row>
    <row r="6" spans="1:25">
      <c r="A6" t="s">
        <v>43</v>
      </c>
      <c r="B6">
        <v>1</v>
      </c>
      <c r="C6" t="str">
        <f t="shared" si="0"/>
        <v>ANTIOQUIA1</v>
      </c>
      <c r="D6">
        <v>15822</v>
      </c>
      <c r="E6">
        <v>55939</v>
      </c>
      <c r="F6">
        <v>15241</v>
      </c>
      <c r="G6">
        <v>56980</v>
      </c>
      <c r="H6">
        <v>15200</v>
      </c>
      <c r="I6">
        <v>57503</v>
      </c>
      <c r="J6">
        <v>13817</v>
      </c>
      <c r="K6">
        <v>55713</v>
      </c>
      <c r="L6">
        <v>14141</v>
      </c>
      <c r="M6">
        <v>56753</v>
      </c>
      <c r="O6" s="5">
        <f>E6/SUM(D6:E6)</f>
        <v>0.77951812265715359</v>
      </c>
      <c r="P6" s="5"/>
      <c r="Q6" s="5">
        <f>G6/SUM(F6:G6)</f>
        <v>0.78896719790642611</v>
      </c>
      <c r="S6" s="5">
        <f>I6/SUM(H6:I6)</f>
        <v>0.79093022296191351</v>
      </c>
      <c r="U6" s="5">
        <f>K6/SUM(J6:K6)</f>
        <v>0.80128002301164969</v>
      </c>
      <c r="W6" s="5">
        <f>AVERAGE(O6:U6)</f>
        <v>0.79017389163428575</v>
      </c>
    </row>
    <row r="7" spans="1:25">
      <c r="A7" t="s">
        <v>43</v>
      </c>
      <c r="B7">
        <v>2</v>
      </c>
      <c r="C7" t="str">
        <f t="shared" si="0"/>
        <v>ANTIOQUIA2</v>
      </c>
      <c r="D7">
        <v>266.13900000000001</v>
      </c>
      <c r="E7">
        <v>249.255</v>
      </c>
      <c r="F7">
        <v>262.99599999999998</v>
      </c>
      <c r="G7">
        <v>243.637</v>
      </c>
      <c r="H7">
        <v>257.41399999999999</v>
      </c>
      <c r="I7">
        <v>238.785</v>
      </c>
      <c r="J7">
        <v>262.59100000000001</v>
      </c>
      <c r="K7">
        <v>239.74799999999999</v>
      </c>
      <c r="L7">
        <v>265.08100000000002</v>
      </c>
      <c r="M7">
        <v>238.994</v>
      </c>
    </row>
    <row r="8" spans="1:25">
      <c r="C8" t="str">
        <f t="shared" si="0"/>
        <v/>
      </c>
    </row>
    <row r="9" spans="1:25">
      <c r="A9" t="s">
        <v>44</v>
      </c>
      <c r="B9">
        <v>1</v>
      </c>
      <c r="C9" t="str">
        <f t="shared" si="0"/>
        <v>ARAUCA1</v>
      </c>
      <c r="D9">
        <v>246</v>
      </c>
      <c r="E9">
        <v>2712</v>
      </c>
      <c r="F9">
        <v>283</v>
      </c>
      <c r="G9">
        <v>2968</v>
      </c>
      <c r="H9">
        <v>284</v>
      </c>
      <c r="I9">
        <v>3055</v>
      </c>
      <c r="J9">
        <v>294</v>
      </c>
      <c r="K9">
        <v>2688</v>
      </c>
      <c r="L9">
        <v>373</v>
      </c>
      <c r="M9">
        <v>2827</v>
      </c>
      <c r="O9" s="5">
        <f>E9/SUM(D9:E9)</f>
        <v>0.91683569979716029</v>
      </c>
      <c r="P9" s="5"/>
      <c r="Q9" s="5">
        <f>G9/SUM(F9:G9)</f>
        <v>0.91294986158105196</v>
      </c>
      <c r="S9" s="5">
        <f>I9/SUM(H9:I9)</f>
        <v>0.91494459418987717</v>
      </c>
      <c r="U9" s="5">
        <f>K9/SUM(J9:K9)</f>
        <v>0.90140845070422537</v>
      </c>
      <c r="W9" s="5">
        <f>AVERAGE(O9:U9)</f>
        <v>0.91153465156807867</v>
      </c>
    </row>
    <row r="10" spans="1:25">
      <c r="A10" t="s">
        <v>44</v>
      </c>
      <c r="B10">
        <v>2</v>
      </c>
      <c r="C10" t="str">
        <f t="shared" si="0"/>
        <v>ARAUCA2</v>
      </c>
      <c r="D10">
        <v>256.20699999999999</v>
      </c>
      <c r="E10">
        <v>252.001</v>
      </c>
      <c r="F10">
        <v>246.982</v>
      </c>
      <c r="G10">
        <v>247.16200000000001</v>
      </c>
      <c r="H10">
        <v>242.34899999999999</v>
      </c>
      <c r="I10">
        <v>241.107</v>
      </c>
      <c r="J10">
        <v>242.49700000000001</v>
      </c>
      <c r="K10">
        <v>239.733</v>
      </c>
      <c r="L10">
        <v>233.30600000000001</v>
      </c>
      <c r="M10">
        <v>236.21299999999999</v>
      </c>
    </row>
    <row r="11" spans="1:25">
      <c r="C11" t="str">
        <f t="shared" si="0"/>
        <v/>
      </c>
    </row>
    <row r="12" spans="1:25">
      <c r="A12" t="s">
        <v>83</v>
      </c>
      <c r="B12">
        <v>1</v>
      </c>
      <c r="C12" t="str">
        <f t="shared" si="0"/>
        <v>ATLÁNTICO1</v>
      </c>
      <c r="D12">
        <v>9565</v>
      </c>
      <c r="E12">
        <v>21892</v>
      </c>
      <c r="F12">
        <v>9453</v>
      </c>
      <c r="G12">
        <v>22518</v>
      </c>
      <c r="H12">
        <v>9440</v>
      </c>
      <c r="I12">
        <v>22795</v>
      </c>
      <c r="J12">
        <v>7384</v>
      </c>
      <c r="K12">
        <v>21222</v>
      </c>
      <c r="L12">
        <v>8805</v>
      </c>
      <c r="M12">
        <v>22881</v>
      </c>
      <c r="O12" s="5">
        <f>E12/SUM(D12:E12)</f>
        <v>0.69593413230759449</v>
      </c>
      <c r="P12" s="5"/>
      <c r="Q12" s="5">
        <f>G12/SUM(F12:G12)</f>
        <v>0.70432579525194705</v>
      </c>
      <c r="S12" s="5">
        <f>I12/SUM(H12:I12)</f>
        <v>0.707150612688072</v>
      </c>
      <c r="U12" s="5">
        <f>K12/SUM(J12:K12)</f>
        <v>0.74187233447528489</v>
      </c>
      <c r="W12" s="5">
        <f>AVERAGE(O12:U12)</f>
        <v>0.71232071868072455</v>
      </c>
    </row>
    <row r="13" spans="1:25">
      <c r="A13" t="s">
        <v>83</v>
      </c>
      <c r="B13">
        <v>2</v>
      </c>
      <c r="C13" t="str">
        <f t="shared" si="0"/>
        <v>ATLÁNTICO2</v>
      </c>
      <c r="D13">
        <v>255.542</v>
      </c>
      <c r="E13">
        <v>245.91800000000001</v>
      </c>
      <c r="F13">
        <v>254.02199999999999</v>
      </c>
      <c r="G13">
        <v>242.67699999999999</v>
      </c>
      <c r="H13">
        <v>248.77</v>
      </c>
      <c r="I13">
        <v>238.387</v>
      </c>
      <c r="J13">
        <v>262.72300000000001</v>
      </c>
      <c r="K13">
        <v>237.75700000000001</v>
      </c>
      <c r="L13">
        <v>255.328</v>
      </c>
      <c r="M13">
        <v>235.18799999999999</v>
      </c>
    </row>
    <row r="14" spans="1:25">
      <c r="C14" t="str">
        <f t="shared" si="0"/>
        <v/>
      </c>
    </row>
    <row r="15" spans="1:25">
      <c r="A15" t="s">
        <v>99</v>
      </c>
      <c r="B15">
        <v>1</v>
      </c>
      <c r="C15" t="str">
        <f t="shared" si="0"/>
        <v>BOGOTÁ, D.C.1</v>
      </c>
      <c r="D15">
        <v>39282</v>
      </c>
      <c r="E15">
        <v>48179</v>
      </c>
      <c r="F15">
        <v>38018</v>
      </c>
      <c r="G15">
        <v>48383</v>
      </c>
      <c r="H15">
        <v>36214</v>
      </c>
      <c r="I15">
        <v>45641</v>
      </c>
      <c r="J15">
        <v>32758</v>
      </c>
      <c r="K15">
        <v>43629</v>
      </c>
      <c r="L15">
        <v>32729</v>
      </c>
      <c r="M15">
        <v>45377</v>
      </c>
      <c r="O15" s="5">
        <f>E15/SUM(D15:E15)</f>
        <v>0.55086267021872604</v>
      </c>
      <c r="P15" s="5"/>
      <c r="Q15" s="5">
        <f>G15/SUM(F15:G15)</f>
        <v>0.55998194465341833</v>
      </c>
      <c r="S15" s="5">
        <f>I15/SUM(H15:I15)</f>
        <v>0.55758353185510967</v>
      </c>
      <c r="U15" s="5">
        <f>K15/SUM(J15:K15)</f>
        <v>0.57115739589197112</v>
      </c>
      <c r="W15" s="5">
        <f>AVERAGE(O15:U15)</f>
        <v>0.55989638565480626</v>
      </c>
    </row>
    <row r="16" spans="1:25">
      <c r="A16" t="s">
        <v>99</v>
      </c>
      <c r="B16">
        <v>2</v>
      </c>
      <c r="C16" t="str">
        <f t="shared" si="0"/>
        <v>BOGOTÁ, D.C.2</v>
      </c>
      <c r="D16">
        <v>286.84500000000003</v>
      </c>
      <c r="E16">
        <v>263.63</v>
      </c>
      <c r="F16">
        <v>284.875</v>
      </c>
      <c r="G16">
        <v>258.94900000000001</v>
      </c>
      <c r="H16">
        <v>280.62700000000001</v>
      </c>
      <c r="I16">
        <v>254.626</v>
      </c>
      <c r="J16">
        <v>283.67200000000003</v>
      </c>
      <c r="K16">
        <v>254.59700000000001</v>
      </c>
      <c r="L16">
        <v>285.98700000000002</v>
      </c>
      <c r="M16">
        <v>252.28399999999999</v>
      </c>
    </row>
    <row r="17" spans="1:23">
      <c r="C17" t="str">
        <f t="shared" si="0"/>
        <v/>
      </c>
    </row>
    <row r="18" spans="1:23">
      <c r="A18" t="s">
        <v>84</v>
      </c>
      <c r="B18">
        <v>1</v>
      </c>
      <c r="C18" t="str">
        <f t="shared" si="0"/>
        <v>BOLÍVAR1</v>
      </c>
      <c r="D18">
        <v>5149</v>
      </c>
      <c r="E18">
        <v>19648</v>
      </c>
      <c r="F18">
        <v>4826</v>
      </c>
      <c r="G18">
        <v>20692</v>
      </c>
      <c r="H18">
        <v>4896</v>
      </c>
      <c r="I18">
        <v>20522</v>
      </c>
      <c r="J18">
        <v>4699</v>
      </c>
      <c r="K18">
        <v>19597</v>
      </c>
      <c r="L18">
        <v>4968</v>
      </c>
      <c r="M18">
        <v>22145</v>
      </c>
      <c r="O18" s="5">
        <f>E18/SUM(D18:E18)</f>
        <v>0.79235391377989273</v>
      </c>
      <c r="P18" s="5"/>
      <c r="Q18" s="5">
        <f>G18/SUM(F18:G18)</f>
        <v>0.81087859550121488</v>
      </c>
      <c r="S18" s="5">
        <f>I18/SUM(H18:I18)</f>
        <v>0.80738059642772841</v>
      </c>
      <c r="U18" s="5">
        <f>K18/SUM(J18:K18)</f>
        <v>0.80659367797168258</v>
      </c>
      <c r="W18" s="5">
        <f>AVERAGE(O18:U18)</f>
        <v>0.80430169592012968</v>
      </c>
    </row>
    <row r="19" spans="1:23">
      <c r="A19" t="s">
        <v>84</v>
      </c>
      <c r="B19">
        <v>2</v>
      </c>
      <c r="C19" t="str">
        <f t="shared" si="0"/>
        <v>BOLÍVAR2</v>
      </c>
      <c r="D19">
        <v>271.28100000000001</v>
      </c>
      <c r="E19">
        <v>230.09</v>
      </c>
      <c r="F19">
        <v>270.62299999999999</v>
      </c>
      <c r="G19">
        <v>224.065</v>
      </c>
      <c r="H19">
        <v>265.81900000000002</v>
      </c>
      <c r="I19">
        <v>218.52099999999999</v>
      </c>
      <c r="J19">
        <v>268.834</v>
      </c>
      <c r="K19">
        <v>220.626</v>
      </c>
      <c r="L19">
        <v>266.57</v>
      </c>
      <c r="M19">
        <v>215.65</v>
      </c>
    </row>
    <row r="20" spans="1:23">
      <c r="C20" t="str">
        <f t="shared" si="0"/>
        <v/>
      </c>
    </row>
    <row r="21" spans="1:23">
      <c r="A21" t="s">
        <v>85</v>
      </c>
      <c r="B21">
        <v>1</v>
      </c>
      <c r="C21" t="str">
        <f t="shared" si="0"/>
        <v>BOYACÁ1</v>
      </c>
      <c r="D21">
        <v>3031</v>
      </c>
      <c r="E21">
        <v>13841</v>
      </c>
      <c r="F21">
        <v>2997</v>
      </c>
      <c r="G21">
        <v>13354</v>
      </c>
      <c r="H21">
        <v>3042</v>
      </c>
      <c r="I21">
        <v>13695</v>
      </c>
      <c r="J21">
        <v>2812</v>
      </c>
      <c r="K21">
        <v>12449</v>
      </c>
      <c r="L21">
        <v>3035</v>
      </c>
      <c r="M21">
        <v>12425</v>
      </c>
      <c r="O21" s="5">
        <f>E21/SUM(D21:E21)</f>
        <v>0.82035324798482689</v>
      </c>
      <c r="P21" s="5"/>
      <c r="Q21" s="5">
        <f>G21/SUM(F21:G21)</f>
        <v>0.81670845819827531</v>
      </c>
      <c r="S21" s="5">
        <f>I21/SUM(H21:I21)</f>
        <v>0.81824699766983333</v>
      </c>
      <c r="U21" s="5">
        <f>K21/SUM(J21:K21)</f>
        <v>0.81573946661424546</v>
      </c>
      <c r="W21" s="5">
        <f>AVERAGE(O21:U21)</f>
        <v>0.8177620426167953</v>
      </c>
    </row>
    <row r="22" spans="1:23">
      <c r="A22" t="s">
        <v>85</v>
      </c>
      <c r="B22">
        <v>2</v>
      </c>
      <c r="C22" t="str">
        <f t="shared" si="0"/>
        <v>BOYACÁ2</v>
      </c>
      <c r="D22">
        <v>289.31200000000001</v>
      </c>
      <c r="E22">
        <v>264.28100000000001</v>
      </c>
      <c r="F22">
        <v>287.69600000000003</v>
      </c>
      <c r="G22">
        <v>261.81099999999998</v>
      </c>
      <c r="H22">
        <v>284.09100000000001</v>
      </c>
      <c r="I22">
        <v>256.83300000000003</v>
      </c>
      <c r="J22">
        <v>287.39699999999999</v>
      </c>
      <c r="K22">
        <v>255.01300000000001</v>
      </c>
      <c r="L22">
        <v>289.47000000000003</v>
      </c>
      <c r="M22">
        <v>255.309</v>
      </c>
    </row>
    <row r="23" spans="1:23">
      <c r="C23" t="str">
        <f t="shared" si="0"/>
        <v/>
      </c>
    </row>
    <row r="24" spans="1:23">
      <c r="A24" t="s">
        <v>49</v>
      </c>
      <c r="B24">
        <v>1</v>
      </c>
      <c r="C24" t="str">
        <f t="shared" si="0"/>
        <v>CALDAS1</v>
      </c>
      <c r="D24">
        <v>1334</v>
      </c>
      <c r="E24">
        <v>9158</v>
      </c>
      <c r="F24">
        <v>1309</v>
      </c>
      <c r="G24">
        <v>8967</v>
      </c>
      <c r="H24">
        <v>1327</v>
      </c>
      <c r="I24">
        <v>9040</v>
      </c>
      <c r="J24">
        <v>1391</v>
      </c>
      <c r="K24">
        <v>8549</v>
      </c>
      <c r="L24">
        <v>1362</v>
      </c>
      <c r="M24">
        <v>9030</v>
      </c>
      <c r="O24" s="5">
        <f>E24/SUM(D24:E24)</f>
        <v>0.87285550895920705</v>
      </c>
      <c r="P24" s="5"/>
      <c r="Q24" s="5">
        <f>G24/SUM(F24:G24)</f>
        <v>0.87261580381471393</v>
      </c>
      <c r="S24" s="5">
        <f>I24/SUM(H24:I24)</f>
        <v>0.87199768496189833</v>
      </c>
      <c r="U24" s="5">
        <f>K24/SUM(J24:K24)</f>
        <v>0.86006036217303827</v>
      </c>
      <c r="W24" s="5">
        <f>AVERAGE(O24:U24)</f>
        <v>0.86938233997721448</v>
      </c>
    </row>
    <row r="25" spans="1:23">
      <c r="A25" t="s">
        <v>49</v>
      </c>
      <c r="B25">
        <v>2</v>
      </c>
      <c r="C25" t="str">
        <f t="shared" si="0"/>
        <v>CALDAS2</v>
      </c>
      <c r="D25">
        <v>280.43700000000001</v>
      </c>
      <c r="E25">
        <v>250.899</v>
      </c>
      <c r="F25">
        <v>274.64100000000002</v>
      </c>
      <c r="G25">
        <v>247.37700000000001</v>
      </c>
      <c r="H25">
        <v>270.12700000000001</v>
      </c>
      <c r="I25">
        <v>242.511</v>
      </c>
      <c r="J25">
        <v>275.76100000000002</v>
      </c>
      <c r="K25">
        <v>246.255</v>
      </c>
      <c r="L25">
        <v>275.53699999999998</v>
      </c>
      <c r="M25">
        <v>242.90100000000001</v>
      </c>
    </row>
    <row r="26" spans="1:23">
      <c r="C26" t="str">
        <f t="shared" si="0"/>
        <v/>
      </c>
    </row>
    <row r="27" spans="1:23">
      <c r="A27" t="s">
        <v>86</v>
      </c>
      <c r="B27">
        <v>1</v>
      </c>
      <c r="C27" t="str">
        <f t="shared" si="0"/>
        <v>CAQUETÁ1</v>
      </c>
      <c r="D27">
        <v>544</v>
      </c>
      <c r="E27">
        <v>3719</v>
      </c>
      <c r="F27">
        <v>630</v>
      </c>
      <c r="G27">
        <v>3706</v>
      </c>
      <c r="H27">
        <v>857</v>
      </c>
      <c r="I27">
        <v>3812</v>
      </c>
      <c r="J27">
        <v>566</v>
      </c>
      <c r="K27">
        <v>3336</v>
      </c>
      <c r="L27">
        <v>534</v>
      </c>
      <c r="M27">
        <v>3211</v>
      </c>
      <c r="O27" s="5">
        <f>E27/SUM(D27:E27)</f>
        <v>0.8723903354445226</v>
      </c>
      <c r="P27" s="5"/>
      <c r="Q27" s="5">
        <f>G27/SUM(F27:G27)</f>
        <v>0.85470479704797053</v>
      </c>
      <c r="S27" s="5">
        <f>I27/SUM(H27:I27)</f>
        <v>0.81644891839794387</v>
      </c>
      <c r="U27" s="5">
        <f>K27/SUM(J27:K27)</f>
        <v>0.85494618144541257</v>
      </c>
      <c r="W27" s="5">
        <f>AVERAGE(O27:U27)</f>
        <v>0.84962255808396236</v>
      </c>
    </row>
    <row r="28" spans="1:23">
      <c r="A28" t="s">
        <v>86</v>
      </c>
      <c r="B28">
        <v>2</v>
      </c>
      <c r="C28" t="str">
        <f t="shared" si="0"/>
        <v>CAQUETÁ2</v>
      </c>
      <c r="D28">
        <v>236.97200000000001</v>
      </c>
      <c r="E28">
        <v>245.512</v>
      </c>
      <c r="F28">
        <v>232.83699999999999</v>
      </c>
      <c r="G28">
        <v>239.36600000000001</v>
      </c>
      <c r="H28">
        <v>225.404</v>
      </c>
      <c r="I28">
        <v>234.792</v>
      </c>
      <c r="J28">
        <v>238.30699999999999</v>
      </c>
      <c r="K28">
        <v>236.39400000000001</v>
      </c>
      <c r="L28">
        <v>237.511</v>
      </c>
      <c r="M28">
        <v>236.18199999999999</v>
      </c>
    </row>
    <row r="29" spans="1:23">
      <c r="C29" t="str">
        <f t="shared" si="0"/>
        <v/>
      </c>
    </row>
    <row r="30" spans="1:23">
      <c r="A30" t="s">
        <v>51</v>
      </c>
      <c r="B30">
        <v>1</v>
      </c>
      <c r="C30" t="str">
        <f t="shared" si="0"/>
        <v>CASANARE1</v>
      </c>
      <c r="D30">
        <v>429</v>
      </c>
      <c r="E30">
        <v>5293</v>
      </c>
      <c r="F30">
        <v>471</v>
      </c>
      <c r="G30">
        <v>5337</v>
      </c>
      <c r="H30">
        <v>468</v>
      </c>
      <c r="I30">
        <v>5478</v>
      </c>
      <c r="J30">
        <v>397</v>
      </c>
      <c r="K30">
        <v>5079</v>
      </c>
      <c r="L30">
        <v>488</v>
      </c>
      <c r="M30">
        <v>5102</v>
      </c>
      <c r="O30" s="5">
        <f>E30/SUM(D30:E30)</f>
        <v>0.92502621461027612</v>
      </c>
      <c r="P30" s="5"/>
      <c r="Q30" s="5">
        <f>G30/SUM(F30:G30)</f>
        <v>0.91890495867768596</v>
      </c>
      <c r="S30" s="5">
        <f>I30/SUM(H30:I30)</f>
        <v>0.92129162462159431</v>
      </c>
      <c r="U30" s="5">
        <f>K30/SUM(J30:K30)</f>
        <v>0.92750182615047483</v>
      </c>
      <c r="W30" s="5">
        <f>AVERAGE(O30:U30)</f>
        <v>0.92318115601500783</v>
      </c>
    </row>
    <row r="31" spans="1:23">
      <c r="A31" t="s">
        <v>51</v>
      </c>
      <c r="B31">
        <v>2</v>
      </c>
      <c r="C31" t="str">
        <f t="shared" si="0"/>
        <v>CASANARE2</v>
      </c>
      <c r="D31">
        <v>276.79700000000003</v>
      </c>
      <c r="E31">
        <v>253.63300000000001</v>
      </c>
      <c r="F31">
        <v>266.40600000000001</v>
      </c>
      <c r="G31">
        <v>249.851</v>
      </c>
      <c r="H31">
        <v>270.22000000000003</v>
      </c>
      <c r="I31">
        <v>245.09299999999999</v>
      </c>
      <c r="J31">
        <v>279.27499999999998</v>
      </c>
      <c r="K31">
        <v>246.56899999999999</v>
      </c>
      <c r="L31">
        <v>274.06599999999997</v>
      </c>
      <c r="M31">
        <v>243.46600000000001</v>
      </c>
    </row>
    <row r="32" spans="1:23">
      <c r="C32" t="str">
        <f t="shared" si="0"/>
        <v/>
      </c>
    </row>
    <row r="33" spans="1:23">
      <c r="A33" t="s">
        <v>52</v>
      </c>
      <c r="B33">
        <v>1</v>
      </c>
      <c r="C33" t="str">
        <f t="shared" si="0"/>
        <v>CAUCA1</v>
      </c>
      <c r="D33">
        <v>1569</v>
      </c>
      <c r="E33">
        <v>12068</v>
      </c>
      <c r="F33">
        <v>1680</v>
      </c>
      <c r="G33">
        <v>12080</v>
      </c>
      <c r="H33">
        <v>1588</v>
      </c>
      <c r="I33">
        <v>12088</v>
      </c>
      <c r="J33">
        <v>977</v>
      </c>
      <c r="K33">
        <v>11307</v>
      </c>
      <c r="L33">
        <v>1115</v>
      </c>
      <c r="M33">
        <v>11916</v>
      </c>
      <c r="O33" s="5">
        <f>E33/SUM(D33:E33)</f>
        <v>0.88494536921610323</v>
      </c>
      <c r="P33" s="5"/>
      <c r="Q33" s="5">
        <f>G33/SUM(F33:G33)</f>
        <v>0.87790697674418605</v>
      </c>
      <c r="S33" s="5">
        <f>I33/SUM(H33:I33)</f>
        <v>0.88388417665984209</v>
      </c>
      <c r="U33" s="5">
        <f>K33/SUM(J33:K33)</f>
        <v>0.92046564636926087</v>
      </c>
      <c r="W33" s="5">
        <f>AVERAGE(O33:U33)</f>
        <v>0.89180054224734806</v>
      </c>
    </row>
    <row r="34" spans="1:23">
      <c r="A34" t="s">
        <v>52</v>
      </c>
      <c r="B34">
        <v>2</v>
      </c>
      <c r="C34" t="str">
        <f t="shared" si="0"/>
        <v>CAUCA2</v>
      </c>
      <c r="D34">
        <v>228.84399999999999</v>
      </c>
      <c r="E34">
        <v>237.065</v>
      </c>
      <c r="F34">
        <v>227.91800000000001</v>
      </c>
      <c r="G34">
        <v>233.72200000000001</v>
      </c>
      <c r="H34">
        <v>224.48400000000001</v>
      </c>
      <c r="I34">
        <v>228.76499999999999</v>
      </c>
      <c r="J34">
        <v>245.017</v>
      </c>
      <c r="K34">
        <v>229.95699999999999</v>
      </c>
      <c r="L34">
        <v>236.19800000000001</v>
      </c>
      <c r="M34">
        <v>226.13800000000001</v>
      </c>
    </row>
    <row r="35" spans="1:23">
      <c r="C35" t="str">
        <f t="shared" si="0"/>
        <v/>
      </c>
    </row>
    <row r="36" spans="1:23">
      <c r="A36" t="s">
        <v>53</v>
      </c>
      <c r="B36">
        <v>1</v>
      </c>
      <c r="C36" t="str">
        <f t="shared" si="0"/>
        <v>CESAR1</v>
      </c>
      <c r="D36">
        <v>2356</v>
      </c>
      <c r="E36">
        <v>10535</v>
      </c>
      <c r="F36">
        <v>2120</v>
      </c>
      <c r="G36">
        <v>11058</v>
      </c>
      <c r="H36">
        <v>2187</v>
      </c>
      <c r="I36">
        <v>11083</v>
      </c>
      <c r="J36">
        <v>1969</v>
      </c>
      <c r="K36">
        <v>10558</v>
      </c>
      <c r="L36">
        <v>2198</v>
      </c>
      <c r="M36">
        <v>10964</v>
      </c>
      <c r="O36" s="5">
        <f>E36/SUM(D36:E36)</f>
        <v>0.8172368318982236</v>
      </c>
      <c r="P36" s="5"/>
      <c r="Q36" s="5">
        <f>G36/SUM(F36:G36)</f>
        <v>0.83912581575352863</v>
      </c>
      <c r="S36" s="5">
        <f>I36/SUM(H36:I36)</f>
        <v>0.83519216277317254</v>
      </c>
      <c r="U36" s="5">
        <f>K36/SUM(J36:K36)</f>
        <v>0.84281950985870524</v>
      </c>
      <c r="W36" s="5">
        <f>AVERAGE(O36:U36)</f>
        <v>0.83359358007090756</v>
      </c>
    </row>
    <row r="37" spans="1:23">
      <c r="A37" t="s">
        <v>53</v>
      </c>
      <c r="B37">
        <v>2</v>
      </c>
      <c r="C37" t="str">
        <f t="shared" si="0"/>
        <v>CESAR2</v>
      </c>
      <c r="D37">
        <v>263.803</v>
      </c>
      <c r="E37">
        <v>243.24600000000001</v>
      </c>
      <c r="F37">
        <v>255.64400000000001</v>
      </c>
      <c r="G37">
        <v>238.423</v>
      </c>
      <c r="H37">
        <v>254.316</v>
      </c>
      <c r="I37">
        <v>235.30799999999999</v>
      </c>
      <c r="J37">
        <v>261.61599999999999</v>
      </c>
      <c r="K37">
        <v>236.65899999999999</v>
      </c>
      <c r="L37">
        <v>256.91800000000001</v>
      </c>
      <c r="M37">
        <v>232.559</v>
      </c>
    </row>
    <row r="38" spans="1:23">
      <c r="C38" t="str">
        <f t="shared" si="0"/>
        <v/>
      </c>
    </row>
    <row r="39" spans="1:23">
      <c r="A39" t="s">
        <v>87</v>
      </c>
      <c r="B39">
        <v>1</v>
      </c>
      <c r="C39" t="str">
        <f t="shared" si="0"/>
        <v>CHOCÓ1</v>
      </c>
      <c r="D39">
        <v>211</v>
      </c>
      <c r="E39">
        <v>4101</v>
      </c>
      <c r="F39">
        <v>263</v>
      </c>
      <c r="G39">
        <v>4412</v>
      </c>
      <c r="H39">
        <v>188</v>
      </c>
      <c r="I39">
        <v>4686</v>
      </c>
      <c r="J39">
        <v>60</v>
      </c>
      <c r="K39">
        <v>4243</v>
      </c>
      <c r="L39">
        <v>170</v>
      </c>
      <c r="M39">
        <v>4719</v>
      </c>
      <c r="O39" s="5">
        <f>E39/SUM(D39:E39)</f>
        <v>0.95106679035250463</v>
      </c>
      <c r="P39" s="5"/>
      <c r="Q39" s="5">
        <f>G39/SUM(F39:G39)</f>
        <v>0.94374331550802137</v>
      </c>
      <c r="S39" s="5">
        <f>I39/SUM(H39:I39)</f>
        <v>0.96142798522773898</v>
      </c>
      <c r="U39" s="5">
        <f>K39/SUM(J39:K39)</f>
        <v>0.98605623983267487</v>
      </c>
      <c r="W39" s="5">
        <f>AVERAGE(O39:U39)</f>
        <v>0.96057358273023508</v>
      </c>
    </row>
    <row r="40" spans="1:23">
      <c r="A40" t="s">
        <v>87</v>
      </c>
      <c r="B40">
        <v>2</v>
      </c>
      <c r="C40" t="str">
        <f t="shared" si="0"/>
        <v>CHOCÓ2</v>
      </c>
      <c r="D40">
        <v>200.81</v>
      </c>
      <c r="E40">
        <v>216.09899999999999</v>
      </c>
      <c r="F40">
        <v>194.99600000000001</v>
      </c>
      <c r="G40">
        <v>209.23</v>
      </c>
      <c r="H40">
        <v>198.298</v>
      </c>
      <c r="I40">
        <v>200.828</v>
      </c>
      <c r="J40">
        <v>235.1</v>
      </c>
      <c r="K40">
        <v>208.21700000000001</v>
      </c>
      <c r="L40">
        <v>212.065</v>
      </c>
      <c r="M40">
        <v>200.47399999999999</v>
      </c>
    </row>
    <row r="41" spans="1:23">
      <c r="C41" t="str">
        <f t="shared" si="0"/>
        <v/>
      </c>
    </row>
    <row r="42" spans="1:23">
      <c r="A42" t="s">
        <v>56</v>
      </c>
      <c r="B42">
        <v>1</v>
      </c>
      <c r="C42" t="str">
        <f t="shared" si="0"/>
        <v>CUNDINAMARCA1</v>
      </c>
      <c r="D42">
        <v>2784</v>
      </c>
      <c r="E42">
        <v>16736</v>
      </c>
      <c r="F42">
        <v>3004</v>
      </c>
      <c r="G42">
        <v>16788</v>
      </c>
      <c r="H42">
        <v>3101</v>
      </c>
      <c r="I42">
        <v>16883</v>
      </c>
      <c r="J42">
        <v>2595</v>
      </c>
      <c r="K42">
        <v>16835</v>
      </c>
      <c r="L42">
        <v>12073</v>
      </c>
      <c r="M42">
        <v>22707</v>
      </c>
      <c r="O42" s="5">
        <f>E42/SUM(D42:E42)</f>
        <v>0.85737704918032787</v>
      </c>
      <c r="P42" s="5"/>
      <c r="Q42" s="5">
        <f>G42/SUM(F42:G42)</f>
        <v>0.84822150363783344</v>
      </c>
      <c r="S42" s="5">
        <f>I42/SUM(H42:I42)</f>
        <v>0.84482586068855081</v>
      </c>
      <c r="U42" s="5">
        <f>K42/SUM(J42:K42)</f>
        <v>0.86644364384971695</v>
      </c>
      <c r="W42" s="5">
        <f>AVERAGE(O42:U42)</f>
        <v>0.85421701433910724</v>
      </c>
    </row>
    <row r="43" spans="1:23">
      <c r="A43" t="s">
        <v>56</v>
      </c>
      <c r="B43">
        <v>2</v>
      </c>
      <c r="C43" t="str">
        <f t="shared" si="0"/>
        <v>CUNDINAMARCA2</v>
      </c>
      <c r="D43">
        <v>271.44200000000001</v>
      </c>
      <c r="E43">
        <v>241.749</v>
      </c>
      <c r="F43">
        <v>262.74900000000002</v>
      </c>
      <c r="G43">
        <v>237.179</v>
      </c>
      <c r="H43">
        <v>257.86099999999999</v>
      </c>
      <c r="I43">
        <v>231.60400000000001</v>
      </c>
      <c r="J43">
        <v>270.96899999999999</v>
      </c>
      <c r="K43">
        <v>229.96899999999999</v>
      </c>
      <c r="L43">
        <v>276.45499999999998</v>
      </c>
      <c r="M43">
        <v>248.005</v>
      </c>
    </row>
    <row r="44" spans="1:23">
      <c r="C44" t="str">
        <f t="shared" si="0"/>
        <v/>
      </c>
    </row>
    <row r="45" spans="1:23">
      <c r="A45" t="s">
        <v>88</v>
      </c>
      <c r="B45">
        <v>1</v>
      </c>
      <c r="C45" t="str">
        <f t="shared" si="0"/>
        <v>CÓRDOBA1</v>
      </c>
      <c r="D45">
        <v>11829</v>
      </c>
      <c r="E45">
        <v>24751</v>
      </c>
      <c r="F45">
        <v>12207</v>
      </c>
      <c r="G45">
        <v>24669</v>
      </c>
      <c r="H45">
        <v>12675</v>
      </c>
      <c r="I45">
        <v>24214</v>
      </c>
      <c r="J45">
        <v>11874</v>
      </c>
      <c r="K45">
        <v>22605</v>
      </c>
      <c r="L45">
        <v>2958</v>
      </c>
      <c r="M45">
        <v>18546</v>
      </c>
      <c r="O45" s="5">
        <f>E45/SUM(D45:E45)</f>
        <v>0.67662657189721154</v>
      </c>
      <c r="P45" s="5"/>
      <c r="Q45" s="5">
        <f>G45/SUM(F45:G45)</f>
        <v>0.66897168890335179</v>
      </c>
      <c r="S45" s="5">
        <f>I45/SUM(H45:I45)</f>
        <v>0.65640163734446588</v>
      </c>
      <c r="U45" s="5">
        <f>K45/SUM(J45:K45)</f>
        <v>0.65561646219437919</v>
      </c>
      <c r="W45" s="5">
        <f>AVERAGE(O45:U45)</f>
        <v>0.66440409008485202</v>
      </c>
    </row>
    <row r="46" spans="1:23">
      <c r="A46" t="s">
        <v>88</v>
      </c>
      <c r="B46">
        <v>2</v>
      </c>
      <c r="C46" t="str">
        <f t="shared" si="0"/>
        <v>CÓRDOBA2</v>
      </c>
      <c r="D46">
        <v>276.31400000000002</v>
      </c>
      <c r="E46">
        <v>256.113</v>
      </c>
      <c r="F46">
        <v>273.53699999999998</v>
      </c>
      <c r="G46">
        <v>251.61500000000001</v>
      </c>
      <c r="H46">
        <v>268.10500000000002</v>
      </c>
      <c r="I46">
        <v>247.49299999999999</v>
      </c>
      <c r="J46">
        <v>273.89</v>
      </c>
      <c r="K46">
        <v>250.03299999999999</v>
      </c>
      <c r="L46">
        <v>264.54899999999998</v>
      </c>
      <c r="M46">
        <v>227.09899999999999</v>
      </c>
    </row>
    <row r="47" spans="1:23">
      <c r="C47" t="str">
        <f t="shared" si="0"/>
        <v/>
      </c>
    </row>
    <row r="48" spans="1:23">
      <c r="A48" t="s">
        <v>89</v>
      </c>
      <c r="B48">
        <v>1</v>
      </c>
      <c r="C48" t="str">
        <f t="shared" si="0"/>
        <v>GUAINÍA1</v>
      </c>
      <c r="E48">
        <v>228</v>
      </c>
      <c r="G48">
        <v>268</v>
      </c>
      <c r="I48">
        <v>268</v>
      </c>
      <c r="K48">
        <v>283</v>
      </c>
      <c r="M48">
        <v>337</v>
      </c>
      <c r="O48" s="5">
        <f>E48/SUM(D48:E48)</f>
        <v>1</v>
      </c>
      <c r="P48" s="5"/>
      <c r="Q48" s="5">
        <f>G48/SUM(F48:G48)</f>
        <v>1</v>
      </c>
      <c r="S48" s="5">
        <f>I48/SUM(H48:I48)</f>
        <v>1</v>
      </c>
      <c r="U48" s="5">
        <f>K48/SUM(J48:K48)</f>
        <v>1</v>
      </c>
      <c r="W48" s="5">
        <f>AVERAGE(O48:U48)</f>
        <v>1</v>
      </c>
    </row>
    <row r="49" spans="1:23">
      <c r="A49" t="s">
        <v>89</v>
      </c>
      <c r="B49">
        <v>2</v>
      </c>
      <c r="C49" t="str">
        <f t="shared" si="0"/>
        <v>GUAINÍA2</v>
      </c>
      <c r="E49">
        <v>248.316</v>
      </c>
      <c r="G49">
        <v>234.20500000000001</v>
      </c>
      <c r="I49">
        <v>223.00399999999999</v>
      </c>
      <c r="K49">
        <v>224.82</v>
      </c>
      <c r="M49">
        <v>211.16</v>
      </c>
    </row>
    <row r="50" spans="1:23">
      <c r="C50" t="str">
        <f t="shared" si="0"/>
        <v/>
      </c>
    </row>
    <row r="51" spans="1:23">
      <c r="A51" t="s">
        <v>58</v>
      </c>
      <c r="B51">
        <v>1</v>
      </c>
      <c r="C51" t="str">
        <f t="shared" si="0"/>
        <v>GUAVIARE1</v>
      </c>
      <c r="D51">
        <v>88</v>
      </c>
      <c r="E51">
        <v>863</v>
      </c>
      <c r="F51">
        <v>149</v>
      </c>
      <c r="G51">
        <v>834</v>
      </c>
      <c r="H51">
        <v>130</v>
      </c>
      <c r="I51">
        <v>883</v>
      </c>
      <c r="J51">
        <v>123</v>
      </c>
      <c r="K51">
        <v>685</v>
      </c>
      <c r="L51">
        <v>149</v>
      </c>
      <c r="M51">
        <v>792</v>
      </c>
      <c r="O51" s="5">
        <f>E51/SUM(D51:E51)</f>
        <v>0.90746582544689802</v>
      </c>
      <c r="P51" s="5"/>
      <c r="Q51" s="5">
        <f>G51/SUM(F51:G51)</f>
        <v>0.8484231943031536</v>
      </c>
      <c r="S51" s="5">
        <f>I51/SUM(H51:I51)</f>
        <v>0.87166831194471861</v>
      </c>
      <c r="U51" s="5">
        <f>K51/SUM(J51:K51)</f>
        <v>0.84777227722772275</v>
      </c>
      <c r="W51" s="5">
        <f>AVERAGE(O51:U51)</f>
        <v>0.8688324022306233</v>
      </c>
    </row>
    <row r="52" spans="1:23">
      <c r="A52" t="s">
        <v>58</v>
      </c>
      <c r="B52">
        <v>2</v>
      </c>
      <c r="C52" t="str">
        <f t="shared" si="0"/>
        <v>GUAVIARE2</v>
      </c>
      <c r="D52">
        <v>225.477</v>
      </c>
      <c r="E52">
        <v>236.803</v>
      </c>
      <c r="F52">
        <v>230.04</v>
      </c>
      <c r="G52">
        <v>230.566</v>
      </c>
      <c r="H52">
        <v>222.446</v>
      </c>
      <c r="I52">
        <v>224.267</v>
      </c>
      <c r="J52">
        <v>236.59299999999999</v>
      </c>
      <c r="K52">
        <v>230.05</v>
      </c>
      <c r="L52">
        <v>230.24799999999999</v>
      </c>
      <c r="M52">
        <v>233.70599999999999</v>
      </c>
    </row>
    <row r="53" spans="1:23">
      <c r="C53" t="str">
        <f t="shared" si="0"/>
        <v/>
      </c>
    </row>
    <row r="54" spans="1:23">
      <c r="A54" t="s">
        <v>59</v>
      </c>
      <c r="B54">
        <v>1</v>
      </c>
      <c r="C54" t="str">
        <f t="shared" si="0"/>
        <v>HUILA1</v>
      </c>
      <c r="D54">
        <v>2899</v>
      </c>
      <c r="E54">
        <v>11875</v>
      </c>
      <c r="F54">
        <v>2542</v>
      </c>
      <c r="G54">
        <v>11617</v>
      </c>
      <c r="H54">
        <v>2684</v>
      </c>
      <c r="I54">
        <v>11383</v>
      </c>
      <c r="J54">
        <v>1992</v>
      </c>
      <c r="K54">
        <v>10146</v>
      </c>
      <c r="L54">
        <v>2169</v>
      </c>
      <c r="M54">
        <v>11114</v>
      </c>
      <c r="O54" s="5">
        <f>E54/SUM(D54:E54)</f>
        <v>0.80377690537430624</v>
      </c>
      <c r="P54" s="5"/>
      <c r="Q54" s="5">
        <f>G54/SUM(F54:G54)</f>
        <v>0.82046754714315984</v>
      </c>
      <c r="S54" s="5">
        <f>I54/SUM(H54:I54)</f>
        <v>0.80919883415084948</v>
      </c>
      <c r="U54" s="5">
        <f>K54/SUM(J54:K54)</f>
        <v>0.83588729609490853</v>
      </c>
      <c r="W54" s="5">
        <f>AVERAGE(O54:U54)</f>
        <v>0.8173326456908061</v>
      </c>
    </row>
    <row r="55" spans="1:23">
      <c r="A55" t="s">
        <v>59</v>
      </c>
      <c r="B55">
        <v>2</v>
      </c>
      <c r="C55" t="str">
        <f t="shared" si="0"/>
        <v>HUILA2</v>
      </c>
      <c r="D55">
        <v>256.04500000000002</v>
      </c>
      <c r="E55">
        <v>252.63900000000001</v>
      </c>
      <c r="F55">
        <v>257.87299999999999</v>
      </c>
      <c r="G55">
        <v>251.68299999999999</v>
      </c>
      <c r="H55">
        <v>253.15100000000001</v>
      </c>
      <c r="I55">
        <v>249.30500000000001</v>
      </c>
      <c r="J55">
        <v>267.55700000000002</v>
      </c>
      <c r="K55">
        <v>247.33099999999999</v>
      </c>
      <c r="L55">
        <v>263.05399999999997</v>
      </c>
      <c r="M55">
        <v>243.44399999999999</v>
      </c>
    </row>
    <row r="56" spans="1:23">
      <c r="C56" t="str">
        <f t="shared" si="0"/>
        <v/>
      </c>
    </row>
    <row r="57" spans="1:23">
      <c r="A57" t="s">
        <v>60</v>
      </c>
      <c r="B57">
        <v>1</v>
      </c>
      <c r="C57" t="str">
        <f t="shared" si="0"/>
        <v>LA GUAJIRA1</v>
      </c>
      <c r="D57">
        <v>783</v>
      </c>
      <c r="E57">
        <v>6800</v>
      </c>
      <c r="F57">
        <v>908</v>
      </c>
      <c r="G57">
        <v>7784</v>
      </c>
      <c r="H57">
        <v>911</v>
      </c>
      <c r="I57">
        <v>7924</v>
      </c>
      <c r="J57">
        <v>805</v>
      </c>
      <c r="K57">
        <v>7123</v>
      </c>
      <c r="L57">
        <v>882</v>
      </c>
      <c r="M57">
        <v>8127</v>
      </c>
      <c r="O57" s="5">
        <f>E57/SUM(D57:E57)</f>
        <v>0.89674271396544902</v>
      </c>
      <c r="P57" s="5"/>
      <c r="Q57" s="5">
        <f>G57/SUM(F57:G57)</f>
        <v>0.89553612517257253</v>
      </c>
      <c r="S57" s="5">
        <f>I57/SUM(H57:I57)</f>
        <v>0.89688737973967181</v>
      </c>
      <c r="U57" s="5">
        <f>K57/SUM(J57:K57)</f>
        <v>0.89846115035317864</v>
      </c>
      <c r="W57" s="5">
        <f>AVERAGE(O57:U57)</f>
        <v>0.896906842307718</v>
      </c>
    </row>
    <row r="58" spans="1:23">
      <c r="A58" t="s">
        <v>60</v>
      </c>
      <c r="B58">
        <v>2</v>
      </c>
      <c r="C58" t="str">
        <f t="shared" si="0"/>
        <v>LA GUAJIRA2</v>
      </c>
      <c r="D58">
        <v>271.851</v>
      </c>
      <c r="E58">
        <v>227.05500000000001</v>
      </c>
      <c r="F58">
        <v>260.74299999999999</v>
      </c>
      <c r="G58">
        <v>218.79599999999999</v>
      </c>
      <c r="H58">
        <v>259.32499999999999</v>
      </c>
      <c r="I58">
        <v>213.35400000000001</v>
      </c>
      <c r="J58">
        <v>270.82</v>
      </c>
      <c r="K58">
        <v>220.63800000000001</v>
      </c>
      <c r="L58">
        <v>265.24700000000001</v>
      </c>
      <c r="M58">
        <v>214.94900000000001</v>
      </c>
    </row>
    <row r="59" spans="1:23">
      <c r="C59" t="str">
        <f t="shared" si="0"/>
        <v/>
      </c>
    </row>
    <row r="60" spans="1:23">
      <c r="A60" t="s">
        <v>61</v>
      </c>
      <c r="B60">
        <v>1</v>
      </c>
      <c r="C60" t="str">
        <f t="shared" si="0"/>
        <v>MAGDALENA1</v>
      </c>
      <c r="D60">
        <v>2141</v>
      </c>
      <c r="E60">
        <v>13432</v>
      </c>
      <c r="F60">
        <v>2106</v>
      </c>
      <c r="G60">
        <v>14848</v>
      </c>
      <c r="H60">
        <v>2048</v>
      </c>
      <c r="I60">
        <v>14511</v>
      </c>
      <c r="J60">
        <v>1974</v>
      </c>
      <c r="K60">
        <v>13340</v>
      </c>
      <c r="L60">
        <v>1901</v>
      </c>
      <c r="M60">
        <v>14355</v>
      </c>
      <c r="O60" s="5">
        <f>E60/SUM(D60:E60)</f>
        <v>0.86251846143967126</v>
      </c>
      <c r="P60" s="5"/>
      <c r="Q60" s="5">
        <f>G60/SUM(F60:G60)</f>
        <v>0.87578152648342578</v>
      </c>
      <c r="S60" s="5">
        <f>I60/SUM(H60:I60)</f>
        <v>0.8763210338788574</v>
      </c>
      <c r="U60" s="5">
        <f>K60/SUM(J60:K60)</f>
        <v>0.87109834138696618</v>
      </c>
      <c r="W60" s="5">
        <f>AVERAGE(O60:U60)</f>
        <v>0.87142984079723018</v>
      </c>
    </row>
    <row r="61" spans="1:23">
      <c r="A61" t="s">
        <v>61</v>
      </c>
      <c r="B61">
        <v>2</v>
      </c>
      <c r="C61" t="str">
        <f t="shared" si="0"/>
        <v>MAGDALENA2</v>
      </c>
      <c r="D61">
        <v>260.96899999999999</v>
      </c>
      <c r="E61">
        <v>225.99100000000001</v>
      </c>
      <c r="F61">
        <v>258.255</v>
      </c>
      <c r="G61">
        <v>220.53299999999999</v>
      </c>
      <c r="H61">
        <v>254.07599999999999</v>
      </c>
      <c r="I61">
        <v>216.727</v>
      </c>
      <c r="J61">
        <v>264.137</v>
      </c>
      <c r="K61">
        <v>221.042</v>
      </c>
      <c r="L61">
        <v>262.82299999999998</v>
      </c>
      <c r="M61">
        <v>219.01900000000001</v>
      </c>
    </row>
    <row r="62" spans="1:23">
      <c r="C62" t="str">
        <f t="shared" si="0"/>
        <v/>
      </c>
    </row>
    <row r="63" spans="1:23">
      <c r="A63" t="s">
        <v>62</v>
      </c>
      <c r="B63">
        <v>1</v>
      </c>
      <c r="C63" t="str">
        <f t="shared" si="0"/>
        <v>META1</v>
      </c>
      <c r="D63">
        <v>2607</v>
      </c>
      <c r="E63">
        <v>9453</v>
      </c>
      <c r="F63">
        <v>2332</v>
      </c>
      <c r="G63">
        <v>9721</v>
      </c>
      <c r="H63">
        <v>2499</v>
      </c>
      <c r="I63">
        <v>10033</v>
      </c>
      <c r="J63">
        <v>2214</v>
      </c>
      <c r="K63">
        <v>9438</v>
      </c>
      <c r="L63">
        <v>2535</v>
      </c>
      <c r="M63">
        <v>9478</v>
      </c>
      <c r="O63" s="5">
        <f>E63/SUM(D63:E63)</f>
        <v>0.78383084577114426</v>
      </c>
      <c r="P63" s="5"/>
      <c r="Q63" s="5">
        <f>G63/SUM(F63:G63)</f>
        <v>0.8065211980419813</v>
      </c>
      <c r="S63" s="5">
        <f>I63/SUM(H63:I63)</f>
        <v>0.80059048834982449</v>
      </c>
      <c r="U63" s="5">
        <f>K63/SUM(J63:K63)</f>
        <v>0.80998970133882597</v>
      </c>
      <c r="W63" s="5">
        <f>AVERAGE(O63:U63)</f>
        <v>0.80023305837544401</v>
      </c>
    </row>
    <row r="64" spans="1:23">
      <c r="A64" t="s">
        <v>62</v>
      </c>
      <c r="B64">
        <v>2</v>
      </c>
      <c r="C64" t="str">
        <f t="shared" si="0"/>
        <v>META2</v>
      </c>
      <c r="D64">
        <v>258.27600000000001</v>
      </c>
      <c r="E64">
        <v>257.34300000000002</v>
      </c>
      <c r="F64">
        <v>253.31</v>
      </c>
      <c r="G64">
        <v>253.303</v>
      </c>
      <c r="H64">
        <v>246.01400000000001</v>
      </c>
      <c r="I64">
        <v>248.535</v>
      </c>
      <c r="J64">
        <v>256.66800000000001</v>
      </c>
      <c r="K64">
        <v>249.83099999999999</v>
      </c>
      <c r="L64">
        <v>255.07599999999999</v>
      </c>
      <c r="M64">
        <v>246.23500000000001</v>
      </c>
    </row>
    <row r="65" spans="1:23">
      <c r="C65" t="str">
        <f t="shared" si="0"/>
        <v/>
      </c>
    </row>
    <row r="66" spans="1:23">
      <c r="A66" t="s">
        <v>63</v>
      </c>
      <c r="B66">
        <v>1</v>
      </c>
      <c r="C66" t="str">
        <f t="shared" si="0"/>
        <v>NARIÑO1</v>
      </c>
      <c r="D66">
        <v>1861</v>
      </c>
      <c r="E66">
        <v>14243</v>
      </c>
      <c r="F66">
        <v>2125</v>
      </c>
      <c r="G66">
        <v>14895</v>
      </c>
      <c r="H66">
        <v>2094</v>
      </c>
      <c r="I66">
        <v>14677</v>
      </c>
      <c r="J66">
        <v>1686</v>
      </c>
      <c r="K66">
        <v>13622</v>
      </c>
      <c r="L66">
        <v>1823</v>
      </c>
      <c r="M66">
        <v>14708</v>
      </c>
      <c r="O66" s="5">
        <f>E66/SUM(D66:E66)</f>
        <v>0.88443864878291112</v>
      </c>
      <c r="P66" s="5"/>
      <c r="Q66" s="5">
        <f>G66/SUM(F66:G66)</f>
        <v>0.87514688601645119</v>
      </c>
      <c r="S66" s="5">
        <f>I66/SUM(H66:I66)</f>
        <v>0.87514161349949315</v>
      </c>
      <c r="U66" s="5">
        <f>K66/SUM(J66:K66)</f>
        <v>0.8898615103214006</v>
      </c>
      <c r="W66" s="5">
        <f>AVERAGE(O66:U66)</f>
        <v>0.88114716465506404</v>
      </c>
    </row>
    <row r="67" spans="1:23">
      <c r="A67" t="s">
        <v>63</v>
      </c>
      <c r="B67">
        <v>2</v>
      </c>
      <c r="C67" t="str">
        <f t="shared" si="0"/>
        <v>NARIÑO2</v>
      </c>
      <c r="D67">
        <v>261.07400000000001</v>
      </c>
      <c r="E67">
        <v>255.256</v>
      </c>
      <c r="F67">
        <v>255.34200000000001</v>
      </c>
      <c r="G67">
        <v>249.25399999999999</v>
      </c>
      <c r="H67">
        <v>250.696</v>
      </c>
      <c r="I67">
        <v>243.61199999999999</v>
      </c>
      <c r="J67">
        <v>259.053</v>
      </c>
      <c r="K67">
        <v>246.45099999999999</v>
      </c>
      <c r="L67">
        <v>254.71600000000001</v>
      </c>
      <c r="M67">
        <v>243.881</v>
      </c>
    </row>
    <row r="68" spans="1:23">
      <c r="C68" t="str">
        <f t="shared" ref="C68:C127" si="1">CONCATENATE(A68,B68)</f>
        <v/>
      </c>
    </row>
    <row r="69" spans="1:23">
      <c r="A69" t="s">
        <v>98</v>
      </c>
      <c r="B69">
        <v>1</v>
      </c>
      <c r="C69" t="str">
        <f t="shared" si="1"/>
        <v>NORTE DE SANTANDER1</v>
      </c>
      <c r="D69">
        <v>4027</v>
      </c>
      <c r="E69">
        <v>11649</v>
      </c>
      <c r="F69">
        <v>3856</v>
      </c>
      <c r="G69">
        <v>11318</v>
      </c>
      <c r="H69">
        <v>4294</v>
      </c>
      <c r="I69">
        <v>11626</v>
      </c>
      <c r="J69">
        <v>3443</v>
      </c>
      <c r="K69">
        <v>10997</v>
      </c>
      <c r="L69">
        <v>3794</v>
      </c>
      <c r="M69">
        <v>12940</v>
      </c>
      <c r="O69" s="5">
        <f>E69/SUM(D69:E69)</f>
        <v>0.7431104873692268</v>
      </c>
      <c r="P69" s="5"/>
      <c r="Q69" s="5">
        <f>G69/SUM(F69:G69)</f>
        <v>0.74588111242915511</v>
      </c>
      <c r="S69" s="5">
        <f>I69/SUM(H69:I69)</f>
        <v>0.73027638190954769</v>
      </c>
      <c r="U69" s="5">
        <f>K69/SUM(J69:K69)</f>
        <v>0.76156509695290864</v>
      </c>
      <c r="W69" s="5">
        <f>AVERAGE(O69:U69)</f>
        <v>0.74520826966520959</v>
      </c>
    </row>
    <row r="70" spans="1:23">
      <c r="A70" t="s">
        <v>98</v>
      </c>
      <c r="B70">
        <v>2</v>
      </c>
      <c r="C70" t="str">
        <f t="shared" si="1"/>
        <v>NORTE DE SANTANDER2</v>
      </c>
      <c r="D70">
        <v>257.363</v>
      </c>
      <c r="E70">
        <v>262.64100000000002</v>
      </c>
      <c r="F70">
        <v>257.94</v>
      </c>
      <c r="G70">
        <v>261.42200000000003</v>
      </c>
      <c r="H70">
        <v>250.80199999999999</v>
      </c>
      <c r="I70">
        <v>256.74900000000002</v>
      </c>
      <c r="J70">
        <v>258.86900000000003</v>
      </c>
      <c r="K70">
        <v>256.24200000000002</v>
      </c>
      <c r="L70">
        <v>258.17099999999999</v>
      </c>
      <c r="M70">
        <v>251.959</v>
      </c>
    </row>
    <row r="71" spans="1:23">
      <c r="C71" t="str">
        <f t="shared" si="1"/>
        <v/>
      </c>
    </row>
    <row r="72" spans="1:23">
      <c r="A72" t="s">
        <v>65</v>
      </c>
      <c r="B72">
        <v>1</v>
      </c>
      <c r="C72" t="str">
        <f t="shared" si="1"/>
        <v>PUTUMAYO1</v>
      </c>
      <c r="D72">
        <v>221</v>
      </c>
      <c r="E72">
        <v>4134</v>
      </c>
      <c r="F72">
        <v>200</v>
      </c>
      <c r="G72">
        <v>4191</v>
      </c>
      <c r="H72">
        <v>186</v>
      </c>
      <c r="I72">
        <v>3851</v>
      </c>
      <c r="J72">
        <v>118</v>
      </c>
      <c r="K72">
        <v>3511</v>
      </c>
      <c r="L72">
        <v>99</v>
      </c>
      <c r="M72">
        <v>3675</v>
      </c>
      <c r="O72" s="5">
        <f>E72/SUM(D72:E72)</f>
        <v>0.94925373134328361</v>
      </c>
      <c r="P72" s="5"/>
      <c r="Q72" s="5">
        <f>G72/SUM(F72:G72)</f>
        <v>0.95445228877248922</v>
      </c>
      <c r="S72" s="5">
        <f>I72/SUM(H72:I72)</f>
        <v>0.95392618280901664</v>
      </c>
      <c r="U72" s="5">
        <f>K72/SUM(J72:K72)</f>
        <v>0.96748415541471477</v>
      </c>
      <c r="W72" s="5">
        <f>AVERAGE(O72:U72)</f>
        <v>0.95627908958487606</v>
      </c>
    </row>
    <row r="73" spans="1:23">
      <c r="A73" t="s">
        <v>65</v>
      </c>
      <c r="B73">
        <v>2</v>
      </c>
      <c r="C73" t="str">
        <f t="shared" si="1"/>
        <v>PUTUMAYO2</v>
      </c>
      <c r="D73">
        <v>229.57</v>
      </c>
      <c r="E73">
        <v>247.46299999999999</v>
      </c>
      <c r="F73">
        <v>219.84</v>
      </c>
      <c r="G73">
        <v>241.66499999999999</v>
      </c>
      <c r="H73">
        <v>220.09100000000001</v>
      </c>
      <c r="I73">
        <v>237.53100000000001</v>
      </c>
      <c r="J73">
        <v>227.33099999999999</v>
      </c>
      <c r="K73">
        <v>238.625</v>
      </c>
      <c r="L73">
        <v>239.434</v>
      </c>
      <c r="M73">
        <v>235.42599999999999</v>
      </c>
    </row>
    <row r="74" spans="1:23">
      <c r="C74" t="str">
        <f t="shared" si="1"/>
        <v/>
      </c>
    </row>
    <row r="75" spans="1:23">
      <c r="A75" t="s">
        <v>90</v>
      </c>
      <c r="B75">
        <v>1</v>
      </c>
      <c r="C75" t="str">
        <f t="shared" si="1"/>
        <v>QUINDÍO1</v>
      </c>
      <c r="D75">
        <v>694</v>
      </c>
      <c r="E75">
        <v>6650</v>
      </c>
      <c r="F75">
        <v>691</v>
      </c>
      <c r="G75">
        <v>6134</v>
      </c>
      <c r="H75">
        <v>620</v>
      </c>
      <c r="I75">
        <v>5840</v>
      </c>
      <c r="J75">
        <v>546</v>
      </c>
      <c r="K75">
        <v>5280</v>
      </c>
      <c r="L75">
        <v>574</v>
      </c>
      <c r="M75">
        <v>5169</v>
      </c>
      <c r="O75" s="5">
        <f>E75/SUM(D75:E75)</f>
        <v>0.9055010893246187</v>
      </c>
      <c r="P75" s="5"/>
      <c r="Q75" s="5">
        <f>G75/SUM(F75:G75)</f>
        <v>0.89875457875457876</v>
      </c>
      <c r="S75" s="5">
        <f>I75/SUM(H75:I75)</f>
        <v>0.90402476780185759</v>
      </c>
      <c r="U75" s="5">
        <f>K75/SUM(J75:K75)</f>
        <v>0.90628218331616894</v>
      </c>
      <c r="W75" s="5">
        <f>AVERAGE(O75:U75)</f>
        <v>0.903640654799306</v>
      </c>
    </row>
    <row r="76" spans="1:23">
      <c r="A76" t="s">
        <v>90</v>
      </c>
      <c r="B76">
        <v>2</v>
      </c>
      <c r="C76" t="str">
        <f t="shared" si="1"/>
        <v>QUINDÍO2</v>
      </c>
      <c r="D76">
        <v>293.51400000000001</v>
      </c>
      <c r="E76">
        <v>252.42099999999999</v>
      </c>
      <c r="F76">
        <v>292.99700000000001</v>
      </c>
      <c r="G76">
        <v>250.28299999999999</v>
      </c>
      <c r="H76">
        <v>296.54199999999997</v>
      </c>
      <c r="I76">
        <v>247.149</v>
      </c>
      <c r="J76">
        <v>298.05500000000001</v>
      </c>
      <c r="K76">
        <v>248.994</v>
      </c>
      <c r="L76">
        <v>310.01900000000001</v>
      </c>
      <c r="M76">
        <v>248.48500000000001</v>
      </c>
    </row>
    <row r="77" spans="1:23">
      <c r="C77" t="str">
        <f t="shared" si="1"/>
        <v/>
      </c>
    </row>
    <row r="78" spans="1:23">
      <c r="A78" t="s">
        <v>67</v>
      </c>
      <c r="B78">
        <v>1</v>
      </c>
      <c r="C78" t="str">
        <f t="shared" si="1"/>
        <v>RISARALDA1</v>
      </c>
      <c r="D78">
        <v>1428</v>
      </c>
      <c r="E78">
        <v>9127</v>
      </c>
      <c r="F78">
        <v>1509</v>
      </c>
      <c r="G78">
        <v>9221</v>
      </c>
      <c r="H78">
        <v>1503</v>
      </c>
      <c r="I78">
        <v>9152</v>
      </c>
      <c r="J78">
        <v>1224</v>
      </c>
      <c r="K78">
        <v>8003</v>
      </c>
      <c r="L78">
        <v>1255</v>
      </c>
      <c r="M78">
        <v>8313</v>
      </c>
      <c r="O78" s="5">
        <f>E78/SUM(D78:E78)</f>
        <v>0.86470866887730935</v>
      </c>
      <c r="P78" s="5"/>
      <c r="Q78" s="5">
        <f>G78/SUM(F78:G78)</f>
        <v>0.85936626281453865</v>
      </c>
      <c r="S78" s="5">
        <f>I78/SUM(H78:I78)</f>
        <v>0.85893946503988738</v>
      </c>
      <c r="U78" s="5">
        <f>K78/SUM(J78:K78)</f>
        <v>0.86734583288176004</v>
      </c>
      <c r="W78" s="5">
        <f>AVERAGE(O78:U78)</f>
        <v>0.8625900574033738</v>
      </c>
    </row>
    <row r="79" spans="1:23">
      <c r="A79" t="s">
        <v>67</v>
      </c>
      <c r="B79">
        <v>2</v>
      </c>
      <c r="C79" t="str">
        <f t="shared" si="1"/>
        <v>RISARALDA2</v>
      </c>
      <c r="D79">
        <v>282.78199999999998</v>
      </c>
      <c r="E79">
        <v>256.17399999999998</v>
      </c>
      <c r="F79">
        <v>278.49400000000003</v>
      </c>
      <c r="G79">
        <v>251.27799999999999</v>
      </c>
      <c r="H79">
        <v>272.42</v>
      </c>
      <c r="I79">
        <v>246.90799999999999</v>
      </c>
      <c r="J79">
        <v>279.82299999999998</v>
      </c>
      <c r="K79">
        <v>249.215</v>
      </c>
      <c r="L79">
        <v>280.42899999999997</v>
      </c>
      <c r="M79">
        <v>246.505</v>
      </c>
    </row>
    <row r="80" spans="1:23">
      <c r="C80" t="str">
        <f t="shared" si="1"/>
        <v/>
      </c>
    </row>
    <row r="81" spans="1:23">
      <c r="A81" t="s">
        <v>91</v>
      </c>
      <c r="B81">
        <v>1</v>
      </c>
      <c r="C81" t="str">
        <f t="shared" si="1"/>
        <v>SAN ANDRÉS1</v>
      </c>
      <c r="D81">
        <v>169</v>
      </c>
      <c r="E81">
        <v>455</v>
      </c>
      <c r="F81">
        <v>126</v>
      </c>
      <c r="G81">
        <v>502</v>
      </c>
      <c r="H81">
        <v>145</v>
      </c>
      <c r="I81">
        <v>475</v>
      </c>
      <c r="J81">
        <v>161</v>
      </c>
      <c r="K81">
        <v>429</v>
      </c>
      <c r="L81">
        <v>137</v>
      </c>
      <c r="M81">
        <v>471</v>
      </c>
      <c r="O81" s="5">
        <f>E81/SUM(D81:E81)</f>
        <v>0.72916666666666663</v>
      </c>
      <c r="P81" s="5"/>
      <c r="Q81" s="5">
        <f>G81/SUM(F81:G81)</f>
        <v>0.79936305732484081</v>
      </c>
      <c r="S81" s="5">
        <f>I81/SUM(H81:I81)</f>
        <v>0.7661290322580645</v>
      </c>
      <c r="U81" s="5">
        <f>K81/SUM(J81:K81)</f>
        <v>0.72711864406779658</v>
      </c>
      <c r="W81" s="5">
        <f>AVERAGE(O81:U81)</f>
        <v>0.75544435007934219</v>
      </c>
    </row>
    <row r="82" spans="1:23">
      <c r="A82" t="s">
        <v>91</v>
      </c>
      <c r="B82">
        <v>2</v>
      </c>
      <c r="C82" t="str">
        <f t="shared" si="1"/>
        <v>SAN ANDRÉS2</v>
      </c>
      <c r="D82">
        <v>268.55</v>
      </c>
      <c r="E82">
        <v>246.642</v>
      </c>
      <c r="F82">
        <v>270.37299999999999</v>
      </c>
      <c r="G82">
        <v>234.12</v>
      </c>
      <c r="H82">
        <v>254.98599999999999</v>
      </c>
      <c r="I82">
        <v>222.89500000000001</v>
      </c>
      <c r="J82">
        <v>262.72699999999998</v>
      </c>
      <c r="K82">
        <v>226.26599999999999</v>
      </c>
      <c r="L82">
        <v>261.92700000000002</v>
      </c>
      <c r="M82">
        <v>223.637</v>
      </c>
    </row>
    <row r="83" spans="1:23">
      <c r="C83" t="str">
        <f t="shared" si="1"/>
        <v/>
      </c>
    </row>
    <row r="84" spans="1:23">
      <c r="A84" t="s">
        <v>69</v>
      </c>
      <c r="B84">
        <v>1</v>
      </c>
      <c r="C84" t="str">
        <f t="shared" si="1"/>
        <v>SANTANDER1</v>
      </c>
      <c r="D84">
        <v>7214</v>
      </c>
      <c r="E84">
        <v>18927</v>
      </c>
      <c r="F84">
        <v>5911</v>
      </c>
      <c r="G84">
        <v>19582</v>
      </c>
      <c r="H84">
        <v>5662</v>
      </c>
      <c r="I84">
        <v>19896</v>
      </c>
      <c r="J84">
        <v>4845</v>
      </c>
      <c r="K84">
        <v>18896</v>
      </c>
      <c r="L84">
        <v>5078</v>
      </c>
      <c r="M84">
        <v>20287</v>
      </c>
      <c r="O84" s="5">
        <f>E84/SUM(D84:E84)</f>
        <v>0.7240350407405991</v>
      </c>
      <c r="P84" s="5"/>
      <c r="Q84" s="5">
        <f>G84/SUM(F84:G84)</f>
        <v>0.76813242850978702</v>
      </c>
      <c r="S84" s="5">
        <f>I84/SUM(H84:I84)</f>
        <v>0.77846466859691676</v>
      </c>
      <c r="U84" s="5">
        <f>K84/SUM(J84:K84)</f>
        <v>0.79592266543111079</v>
      </c>
      <c r="W84" s="5">
        <f>AVERAGE(O84:U84)</f>
        <v>0.76663870081960339</v>
      </c>
    </row>
    <row r="85" spans="1:23">
      <c r="A85" t="s">
        <v>69</v>
      </c>
      <c r="B85">
        <v>2</v>
      </c>
      <c r="C85" t="str">
        <f t="shared" si="1"/>
        <v>SANTANDER2</v>
      </c>
      <c r="D85">
        <v>268.596</v>
      </c>
      <c r="E85">
        <v>267.85399999999998</v>
      </c>
      <c r="F85">
        <v>276.34500000000003</v>
      </c>
      <c r="G85">
        <v>263.11200000000002</v>
      </c>
      <c r="H85">
        <v>277.85000000000002</v>
      </c>
      <c r="I85">
        <v>260.14100000000002</v>
      </c>
      <c r="J85">
        <v>284.13900000000001</v>
      </c>
      <c r="K85">
        <v>259.84699999999998</v>
      </c>
      <c r="L85">
        <v>282.815</v>
      </c>
      <c r="M85">
        <v>256.09300000000002</v>
      </c>
    </row>
    <row r="86" spans="1:23">
      <c r="C86" t="str">
        <f t="shared" si="1"/>
        <v/>
      </c>
    </row>
    <row r="87" spans="1:23">
      <c r="A87" t="s">
        <v>70</v>
      </c>
      <c r="B87">
        <v>1</v>
      </c>
      <c r="C87" t="str">
        <f t="shared" si="1"/>
        <v>SUCRE1</v>
      </c>
      <c r="D87">
        <v>1310</v>
      </c>
      <c r="E87">
        <v>9253</v>
      </c>
      <c r="F87">
        <v>1305</v>
      </c>
      <c r="G87">
        <v>9341</v>
      </c>
      <c r="H87">
        <v>1412</v>
      </c>
      <c r="I87">
        <v>9520</v>
      </c>
      <c r="J87">
        <v>1129</v>
      </c>
      <c r="K87">
        <v>9065</v>
      </c>
      <c r="L87">
        <v>1180</v>
      </c>
      <c r="M87">
        <v>9506</v>
      </c>
      <c r="O87" s="5">
        <f>E87/SUM(D87:E87)</f>
        <v>0.87598220202593957</v>
      </c>
      <c r="P87" s="5"/>
      <c r="Q87" s="5">
        <f>G87/SUM(F87:G87)</f>
        <v>0.87741874882585014</v>
      </c>
      <c r="S87" s="5">
        <f>I87/SUM(H87:I87)</f>
        <v>0.87083790706183684</v>
      </c>
      <c r="U87" s="5">
        <f>K87/SUM(J87:K87)</f>
        <v>0.88924857759466358</v>
      </c>
      <c r="W87" s="5">
        <f>AVERAGE(O87:U87)</f>
        <v>0.87837185887707248</v>
      </c>
    </row>
    <row r="88" spans="1:23">
      <c r="A88" t="s">
        <v>70</v>
      </c>
      <c r="B88">
        <v>2</v>
      </c>
      <c r="C88" t="str">
        <f t="shared" si="1"/>
        <v>SUCRE2</v>
      </c>
      <c r="D88">
        <v>265.13</v>
      </c>
      <c r="E88">
        <v>244.095</v>
      </c>
      <c r="F88">
        <v>259.62099999999998</v>
      </c>
      <c r="G88">
        <v>238.07</v>
      </c>
      <c r="H88">
        <v>257.07400000000001</v>
      </c>
      <c r="I88">
        <v>232.72800000000001</v>
      </c>
      <c r="J88">
        <v>268.053</v>
      </c>
      <c r="K88">
        <v>231.94900000000001</v>
      </c>
      <c r="L88">
        <v>264.84399999999999</v>
      </c>
      <c r="M88">
        <v>227.89500000000001</v>
      </c>
    </row>
    <row r="89" spans="1:23">
      <c r="C89" t="str">
        <f t="shared" si="1"/>
        <v/>
      </c>
    </row>
    <row r="90" spans="1:23">
      <c r="A90" t="s">
        <v>71</v>
      </c>
      <c r="B90">
        <v>1</v>
      </c>
      <c r="C90" t="str">
        <f t="shared" si="1"/>
        <v>TOLIMA1</v>
      </c>
      <c r="D90">
        <v>3265</v>
      </c>
      <c r="E90">
        <v>13859</v>
      </c>
      <c r="F90">
        <v>2929</v>
      </c>
      <c r="G90">
        <v>13811</v>
      </c>
      <c r="H90">
        <v>2830</v>
      </c>
      <c r="I90">
        <v>13508</v>
      </c>
      <c r="J90">
        <v>2600</v>
      </c>
      <c r="K90">
        <v>13056</v>
      </c>
      <c r="L90">
        <v>2546</v>
      </c>
      <c r="M90">
        <v>13728</v>
      </c>
      <c r="O90" s="5">
        <f>E90/SUM(D90:E90)</f>
        <v>0.80933193179163743</v>
      </c>
      <c r="P90" s="5"/>
      <c r="Q90" s="5">
        <f>G90/SUM(F90:G90)</f>
        <v>0.82502986857825567</v>
      </c>
      <c r="S90" s="5">
        <f>I90/SUM(H90:I90)</f>
        <v>0.82678418411066223</v>
      </c>
      <c r="U90" s="5">
        <f>K90/SUM(J90:K90)</f>
        <v>0.83392948390393462</v>
      </c>
      <c r="W90" s="5">
        <f>AVERAGE(O90:U90)</f>
        <v>0.82376886709612251</v>
      </c>
    </row>
    <row r="91" spans="1:23">
      <c r="A91" t="s">
        <v>71</v>
      </c>
      <c r="B91">
        <v>2</v>
      </c>
      <c r="C91" t="str">
        <f t="shared" si="1"/>
        <v>TOLIMA2</v>
      </c>
      <c r="D91">
        <v>257.77199999999999</v>
      </c>
      <c r="E91">
        <v>247.93199999999999</v>
      </c>
      <c r="F91">
        <v>256.89</v>
      </c>
      <c r="G91">
        <v>242.852</v>
      </c>
      <c r="H91">
        <v>252.583</v>
      </c>
      <c r="I91">
        <v>238.34700000000001</v>
      </c>
      <c r="J91">
        <v>261.411</v>
      </c>
      <c r="K91">
        <v>238.44300000000001</v>
      </c>
      <c r="L91">
        <v>262.33300000000003</v>
      </c>
      <c r="M91">
        <v>236.34200000000001</v>
      </c>
    </row>
    <row r="92" spans="1:23">
      <c r="C92" t="str">
        <f t="shared" si="1"/>
        <v/>
      </c>
    </row>
    <row r="93" spans="1:23">
      <c r="A93" t="s">
        <v>92</v>
      </c>
      <c r="B93">
        <v>1</v>
      </c>
      <c r="C93" t="str">
        <f t="shared" si="1"/>
        <v>VALLE DEL CAUCA1</v>
      </c>
      <c r="D93">
        <v>8130</v>
      </c>
      <c r="E93">
        <v>30143</v>
      </c>
      <c r="F93">
        <v>7685</v>
      </c>
      <c r="G93">
        <v>30720</v>
      </c>
      <c r="H93">
        <v>7368</v>
      </c>
      <c r="I93">
        <v>30334</v>
      </c>
      <c r="J93">
        <v>6747</v>
      </c>
      <c r="K93">
        <v>28350</v>
      </c>
      <c r="L93">
        <v>7603</v>
      </c>
      <c r="M93">
        <v>30865</v>
      </c>
      <c r="O93" s="5">
        <f>E93/SUM(D93:E93)</f>
        <v>0.78757871084054032</v>
      </c>
      <c r="P93" s="5"/>
      <c r="Q93" s="5">
        <f>G93/SUM(F93:G93)</f>
        <v>0.79989584689493554</v>
      </c>
      <c r="S93" s="5">
        <f>I93/SUM(H93:I93)</f>
        <v>0.80457270171343698</v>
      </c>
      <c r="U93" s="5">
        <f>K93/SUM(J93:K93)</f>
        <v>0.80776134712368575</v>
      </c>
      <c r="W93" s="5">
        <f>AVERAGE(O93:U93)</f>
        <v>0.79995215164314959</v>
      </c>
    </row>
    <row r="94" spans="1:23">
      <c r="A94" t="s">
        <v>92</v>
      </c>
      <c r="B94">
        <v>2</v>
      </c>
      <c r="C94" t="str">
        <f t="shared" si="1"/>
        <v>VALLE DEL CAUCA2</v>
      </c>
      <c r="D94">
        <v>252.947</v>
      </c>
      <c r="E94">
        <v>250.84</v>
      </c>
      <c r="F94">
        <v>250.16</v>
      </c>
      <c r="G94">
        <v>245.72300000000001</v>
      </c>
      <c r="H94">
        <v>248.72399999999999</v>
      </c>
      <c r="I94">
        <v>241.768</v>
      </c>
      <c r="J94">
        <v>253.26599999999999</v>
      </c>
      <c r="K94">
        <v>243.333</v>
      </c>
      <c r="L94">
        <v>252.608</v>
      </c>
      <c r="M94">
        <v>241.45599999999999</v>
      </c>
    </row>
    <row r="95" spans="1:23">
      <c r="C95" t="str">
        <f t="shared" si="1"/>
        <v/>
      </c>
    </row>
    <row r="96" spans="1:23">
      <c r="A96" t="s">
        <v>93</v>
      </c>
      <c r="B96">
        <v>1</v>
      </c>
      <c r="C96" t="str">
        <f t="shared" si="1"/>
        <v>VAUPÉS1</v>
      </c>
      <c r="D96">
        <v>14</v>
      </c>
      <c r="E96">
        <v>370</v>
      </c>
      <c r="F96">
        <v>9</v>
      </c>
      <c r="G96">
        <v>362</v>
      </c>
      <c r="H96">
        <v>9</v>
      </c>
      <c r="I96">
        <v>343</v>
      </c>
      <c r="K96">
        <v>320</v>
      </c>
      <c r="L96">
        <v>8</v>
      </c>
      <c r="M96">
        <v>373</v>
      </c>
      <c r="O96" s="5">
        <f>E96/SUM(D96:E96)</f>
        <v>0.96354166666666663</v>
      </c>
      <c r="P96" s="5"/>
      <c r="Q96" s="5">
        <f>G96/SUM(F96:G96)</f>
        <v>0.97574123989218331</v>
      </c>
      <c r="S96" s="5">
        <f>I96/SUM(H96:I96)</f>
        <v>0.97443181818181823</v>
      </c>
      <c r="U96" s="5">
        <f>K96/SUM(J96:K96)</f>
        <v>1</v>
      </c>
      <c r="W96" s="5">
        <f>AVERAGE(O96:U96)</f>
        <v>0.97842868118516702</v>
      </c>
    </row>
    <row r="97" spans="1:23">
      <c r="A97" t="s">
        <v>93</v>
      </c>
      <c r="B97">
        <v>2</v>
      </c>
      <c r="C97" t="str">
        <f t="shared" si="1"/>
        <v>VAUPÉS2</v>
      </c>
      <c r="D97">
        <v>200.714</v>
      </c>
      <c r="E97">
        <v>222.54900000000001</v>
      </c>
      <c r="F97">
        <v>182.333</v>
      </c>
      <c r="G97">
        <v>211.613</v>
      </c>
      <c r="H97">
        <v>211.11099999999999</v>
      </c>
      <c r="I97">
        <v>209.61199999999999</v>
      </c>
      <c r="K97">
        <v>210.084</v>
      </c>
      <c r="L97">
        <v>199.25</v>
      </c>
      <c r="M97">
        <v>208.27600000000001</v>
      </c>
    </row>
    <row r="98" spans="1:23">
      <c r="C98" t="str">
        <f t="shared" si="1"/>
        <v/>
      </c>
    </row>
    <row r="99" spans="1:23">
      <c r="A99" t="s">
        <v>74</v>
      </c>
      <c r="B99">
        <v>1</v>
      </c>
      <c r="C99" t="str">
        <f t="shared" si="1"/>
        <v>VICHADA1</v>
      </c>
      <c r="E99">
        <v>459</v>
      </c>
      <c r="G99">
        <v>522</v>
      </c>
      <c r="I99">
        <v>497</v>
      </c>
      <c r="K99">
        <v>509</v>
      </c>
      <c r="M99">
        <v>610</v>
      </c>
      <c r="O99" s="5">
        <f>E99/SUM(D99:E99)</f>
        <v>1</v>
      </c>
      <c r="P99" s="5"/>
      <c r="Q99" s="5">
        <f>G99/SUM(F99:G99)</f>
        <v>1</v>
      </c>
      <c r="S99" s="5">
        <f>I99/SUM(H99:I99)</f>
        <v>1</v>
      </c>
      <c r="U99" s="5">
        <f>K99/SUM(J99:K99)</f>
        <v>1</v>
      </c>
      <c r="W99" s="5">
        <f>AVERAGE(O99:U99)</f>
        <v>1</v>
      </c>
    </row>
    <row r="100" spans="1:23">
      <c r="A100" t="s">
        <v>74</v>
      </c>
      <c r="B100">
        <v>2</v>
      </c>
      <c r="C100" t="str">
        <f t="shared" si="1"/>
        <v>VICHADA2</v>
      </c>
      <c r="E100">
        <v>237.69499999999999</v>
      </c>
      <c r="G100">
        <v>229.52099999999999</v>
      </c>
      <c r="I100">
        <v>225.3</v>
      </c>
      <c r="K100">
        <v>222.37899999999999</v>
      </c>
      <c r="M100">
        <v>218.69300000000001</v>
      </c>
    </row>
    <row r="101" spans="1:23">
      <c r="C101" t="str">
        <f t="shared" si="1"/>
        <v/>
      </c>
    </row>
    <row r="102" spans="1:23">
      <c r="C102" t="str">
        <f t="shared" si="1"/>
        <v/>
      </c>
      <c r="O102" s="5"/>
      <c r="P102" s="5"/>
      <c r="Q102" s="5"/>
      <c r="S102" s="5"/>
      <c r="U102" s="5"/>
      <c r="W102" s="5"/>
    </row>
    <row r="103" spans="1:23">
      <c r="C103" t="str">
        <f t="shared" si="1"/>
        <v/>
      </c>
      <c r="D103" s="49">
        <v>2017</v>
      </c>
      <c r="E103" s="49"/>
      <c r="F103" s="49">
        <f>D103+1</f>
        <v>2018</v>
      </c>
      <c r="G103" s="49"/>
      <c r="H103" s="49">
        <f>F103+1</f>
        <v>2019</v>
      </c>
      <c r="I103" s="49"/>
      <c r="J103" s="49">
        <f>H103+1</f>
        <v>2020</v>
      </c>
      <c r="K103" s="49"/>
      <c r="L103" s="49">
        <f>J103+1</f>
        <v>2021</v>
      </c>
      <c r="M103" s="49"/>
    </row>
    <row r="104" spans="1:23">
      <c r="C104" t="str">
        <f t="shared" si="1"/>
        <v/>
      </c>
      <c r="D104" s="1" t="s">
        <v>94</v>
      </c>
      <c r="E104" s="1" t="s">
        <v>95</v>
      </c>
      <c r="F104" s="1" t="s">
        <v>94</v>
      </c>
      <c r="G104" s="1" t="s">
        <v>95</v>
      </c>
      <c r="H104" s="1" t="s">
        <v>94</v>
      </c>
      <c r="I104" s="1" t="s">
        <v>95</v>
      </c>
      <c r="J104" s="1" t="s">
        <v>94</v>
      </c>
      <c r="K104" s="1" t="s">
        <v>95</v>
      </c>
      <c r="L104" s="1" t="s">
        <v>94</v>
      </c>
      <c r="M104" s="1" t="s">
        <v>95</v>
      </c>
    </row>
    <row r="105" spans="1:23">
      <c r="A105" t="s">
        <v>75</v>
      </c>
      <c r="B105">
        <v>1</v>
      </c>
      <c r="C105" t="str">
        <f t="shared" si="1"/>
        <v>Amazonía1</v>
      </c>
      <c r="D105">
        <v>903</v>
      </c>
      <c r="E105">
        <v>10123</v>
      </c>
      <c r="F105">
        <v>1009</v>
      </c>
      <c r="G105">
        <v>10318</v>
      </c>
      <c r="H105">
        <v>1210</v>
      </c>
      <c r="I105">
        <v>9952</v>
      </c>
      <c r="J105">
        <v>830</v>
      </c>
      <c r="K105">
        <v>8742</v>
      </c>
      <c r="L105">
        <v>814</v>
      </c>
      <c r="M105">
        <v>9030</v>
      </c>
      <c r="O105" s="5"/>
      <c r="P105" s="5"/>
      <c r="Q105" s="5"/>
      <c r="S105" s="5"/>
      <c r="U105" s="5"/>
      <c r="W105" s="5"/>
    </row>
    <row r="106" spans="1:23">
      <c r="A106" t="s">
        <v>75</v>
      </c>
      <c r="B106">
        <v>2</v>
      </c>
      <c r="C106" t="str">
        <f t="shared" si="1"/>
        <v>Amazonía2</v>
      </c>
      <c r="D106">
        <v>236.292</v>
      </c>
      <c r="E106">
        <v>242.99299999999999</v>
      </c>
      <c r="F106">
        <v>231.12899999999999</v>
      </c>
      <c r="G106">
        <v>236.196</v>
      </c>
      <c r="H106">
        <v>225.80199999999999</v>
      </c>
      <c r="I106">
        <v>231.755</v>
      </c>
      <c r="J106">
        <v>238.48400000000001</v>
      </c>
      <c r="K106">
        <v>234.148</v>
      </c>
      <c r="L106">
        <v>237.76400000000001</v>
      </c>
      <c r="M106">
        <v>231.71199999999999</v>
      </c>
    </row>
    <row r="107" spans="1:23">
      <c r="C107" t="str">
        <f t="shared" si="1"/>
        <v/>
      </c>
    </row>
    <row r="108" spans="1:23">
      <c r="A108" t="s">
        <v>76</v>
      </c>
      <c r="B108">
        <v>1</v>
      </c>
      <c r="C108" t="str">
        <f t="shared" si="1"/>
        <v>Caribe1</v>
      </c>
      <c r="D108">
        <v>24088</v>
      </c>
      <c r="E108">
        <v>98296</v>
      </c>
      <c r="F108">
        <v>23722</v>
      </c>
      <c r="G108">
        <v>103029</v>
      </c>
      <c r="H108">
        <v>23995</v>
      </c>
      <c r="I108">
        <v>103238</v>
      </c>
      <c r="J108">
        <v>20555</v>
      </c>
      <c r="K108">
        <v>97740</v>
      </c>
      <c r="L108">
        <v>22892</v>
      </c>
      <c r="M108">
        <v>106524</v>
      </c>
      <c r="T108" t="s">
        <v>76</v>
      </c>
    </row>
    <row r="109" spans="1:23">
      <c r="A109" t="s">
        <v>76</v>
      </c>
      <c r="B109">
        <v>2</v>
      </c>
      <c r="C109" t="str">
        <f t="shared" si="1"/>
        <v>Caribe2</v>
      </c>
      <c r="D109">
        <v>263.08600000000001</v>
      </c>
      <c r="E109">
        <v>237.55799999999999</v>
      </c>
      <c r="F109">
        <v>259.58999999999997</v>
      </c>
      <c r="G109">
        <v>232.173</v>
      </c>
      <c r="H109">
        <v>255.27099999999999</v>
      </c>
      <c r="I109">
        <v>227.51</v>
      </c>
      <c r="J109">
        <v>265.80099999999999</v>
      </c>
      <c r="K109">
        <v>228.79499999999999</v>
      </c>
      <c r="L109">
        <v>260.60700000000003</v>
      </c>
      <c r="M109">
        <v>225.07400000000001</v>
      </c>
    </row>
    <row r="110" spans="1:23">
      <c r="C110" t="str">
        <f t="shared" si="1"/>
        <v/>
      </c>
    </row>
    <row r="111" spans="1:23">
      <c r="A111" t="s">
        <v>77</v>
      </c>
      <c r="B111">
        <v>1</v>
      </c>
      <c r="C111" t="str">
        <f t="shared" si="1"/>
        <v>Central1</v>
      </c>
      <c r="D111">
        <v>60306</v>
      </c>
      <c r="E111">
        <v>112505</v>
      </c>
      <c r="F111">
        <v>58693</v>
      </c>
      <c r="G111">
        <v>111834</v>
      </c>
      <c r="H111">
        <v>57445</v>
      </c>
      <c r="I111">
        <v>108441</v>
      </c>
      <c r="J111">
        <v>52036</v>
      </c>
      <c r="K111">
        <v>101885</v>
      </c>
      <c r="L111">
        <v>52552</v>
      </c>
      <c r="M111">
        <v>105351</v>
      </c>
      <c r="T111" t="s">
        <v>77</v>
      </c>
    </row>
    <row r="112" spans="1:23">
      <c r="A112" t="s">
        <v>77</v>
      </c>
      <c r="B112">
        <v>2</v>
      </c>
      <c r="C112" t="str">
        <f t="shared" si="1"/>
        <v>Central2</v>
      </c>
      <c r="D112">
        <v>281.84899999999999</v>
      </c>
      <c r="E112">
        <v>258.96199999999999</v>
      </c>
      <c r="F112">
        <v>280.09500000000003</v>
      </c>
      <c r="G112">
        <v>254.93</v>
      </c>
      <c r="H112">
        <v>275.38200000000001</v>
      </c>
      <c r="I112">
        <v>250.72499999999999</v>
      </c>
      <c r="J112">
        <v>279.91199999999998</v>
      </c>
      <c r="K112">
        <v>250.84200000000001</v>
      </c>
      <c r="L112">
        <v>281.90600000000001</v>
      </c>
      <c r="M112">
        <v>248.709</v>
      </c>
    </row>
    <row r="113" spans="1:20">
      <c r="C113" t="str">
        <f t="shared" si="1"/>
        <v/>
      </c>
    </row>
    <row r="114" spans="1:20">
      <c r="A114" t="s">
        <v>78</v>
      </c>
      <c r="B114">
        <v>1</v>
      </c>
      <c r="C114" t="str">
        <f t="shared" si="1"/>
        <v>Eje Cafetero y Antioquia1</v>
      </c>
      <c r="D114">
        <v>19278</v>
      </c>
      <c r="E114">
        <v>80874</v>
      </c>
      <c r="F114">
        <v>18750</v>
      </c>
      <c r="G114">
        <v>81302</v>
      </c>
      <c r="H114">
        <v>18650</v>
      </c>
      <c r="I114">
        <v>81535</v>
      </c>
      <c r="J114">
        <v>16978</v>
      </c>
      <c r="K114">
        <v>77545</v>
      </c>
      <c r="L114">
        <v>17332</v>
      </c>
      <c r="M114">
        <v>79265</v>
      </c>
      <c r="S114" t="s">
        <v>96</v>
      </c>
      <c r="T114" t="s">
        <v>97</v>
      </c>
    </row>
    <row r="115" spans="1:20">
      <c r="A115" t="s">
        <v>78</v>
      </c>
      <c r="B115">
        <v>2</v>
      </c>
      <c r="C115" t="str">
        <f t="shared" si="1"/>
        <v>Eje Cafetero y Antioquia2</v>
      </c>
      <c r="D115">
        <v>269.34699999999998</v>
      </c>
      <c r="E115">
        <v>250.483</v>
      </c>
      <c r="F115">
        <v>266.16199999999998</v>
      </c>
      <c r="G115">
        <v>245.417</v>
      </c>
      <c r="H115">
        <v>260.82900000000001</v>
      </c>
      <c r="I115">
        <v>240.709</v>
      </c>
      <c r="J115">
        <v>266.05200000000002</v>
      </c>
      <c r="K115">
        <v>242.072</v>
      </c>
      <c r="L115">
        <v>268.50200000000001</v>
      </c>
      <c r="M115">
        <v>240.846</v>
      </c>
    </row>
    <row r="116" spans="1:20">
      <c r="C116" t="str">
        <f t="shared" si="1"/>
        <v/>
      </c>
    </row>
    <row r="117" spans="1:20">
      <c r="A117" t="s">
        <v>79</v>
      </c>
      <c r="B117">
        <v>1</v>
      </c>
      <c r="C117" t="str">
        <f t="shared" si="1"/>
        <v>Insular1</v>
      </c>
      <c r="D117">
        <v>169</v>
      </c>
      <c r="E117">
        <v>455</v>
      </c>
      <c r="F117">
        <v>126</v>
      </c>
      <c r="G117">
        <v>502</v>
      </c>
      <c r="H117">
        <v>145</v>
      </c>
      <c r="I117">
        <v>475</v>
      </c>
      <c r="J117">
        <v>161</v>
      </c>
      <c r="K117">
        <v>429</v>
      </c>
      <c r="L117">
        <v>137</v>
      </c>
      <c r="M117">
        <v>471</v>
      </c>
      <c r="T117" t="s">
        <v>79</v>
      </c>
    </row>
    <row r="118" spans="1:20">
      <c r="A118" t="s">
        <v>79</v>
      </c>
      <c r="B118">
        <v>2</v>
      </c>
      <c r="C118" t="str">
        <f t="shared" si="1"/>
        <v>Insular2</v>
      </c>
      <c r="D118">
        <v>268.55</v>
      </c>
      <c r="E118">
        <v>246.642</v>
      </c>
      <c r="F118">
        <v>270.37299999999999</v>
      </c>
      <c r="G118">
        <v>234.12</v>
      </c>
      <c r="H118">
        <v>254.98599999999999</v>
      </c>
      <c r="I118">
        <v>222.89500000000001</v>
      </c>
      <c r="J118">
        <v>262.72699999999998</v>
      </c>
      <c r="K118">
        <v>226.26599999999999</v>
      </c>
      <c r="L118">
        <v>261.92700000000002</v>
      </c>
      <c r="M118">
        <v>223.637</v>
      </c>
    </row>
    <row r="119" spans="1:20">
      <c r="C119" t="str">
        <f t="shared" si="1"/>
        <v/>
      </c>
    </row>
    <row r="120" spans="1:20">
      <c r="A120" t="s">
        <v>80</v>
      </c>
      <c r="B120">
        <v>1</v>
      </c>
      <c r="C120" t="str">
        <f t="shared" si="1"/>
        <v>Orinoquia-Llanos1</v>
      </c>
      <c r="D120">
        <v>3282</v>
      </c>
      <c r="E120">
        <v>17917</v>
      </c>
      <c r="F120">
        <v>3086</v>
      </c>
      <c r="G120">
        <v>18548</v>
      </c>
      <c r="H120">
        <v>3251</v>
      </c>
      <c r="I120">
        <v>19063</v>
      </c>
      <c r="J120">
        <v>2905</v>
      </c>
      <c r="K120">
        <v>17714</v>
      </c>
      <c r="L120">
        <v>3396</v>
      </c>
      <c r="M120">
        <v>18017</v>
      </c>
      <c r="T120" t="s">
        <v>80</v>
      </c>
    </row>
    <row r="121" spans="1:20">
      <c r="A121" t="s">
        <v>80</v>
      </c>
      <c r="B121">
        <v>2</v>
      </c>
      <c r="C121" t="str">
        <f t="shared" si="1"/>
        <v>Orinoquia-Llanos2</v>
      </c>
      <c r="D121">
        <v>260.54199999999997</v>
      </c>
      <c r="E121">
        <v>254.935</v>
      </c>
      <c r="F121">
        <v>254.72800000000001</v>
      </c>
      <c r="G121">
        <v>250.65799999999999</v>
      </c>
      <c r="H121">
        <v>249.178</v>
      </c>
      <c r="I121">
        <v>245.75</v>
      </c>
      <c r="J121">
        <v>258.32299999999998</v>
      </c>
      <c r="K121">
        <v>246.57499999999999</v>
      </c>
      <c r="L121">
        <v>255.41399999999999</v>
      </c>
      <c r="M121">
        <v>242.946</v>
      </c>
    </row>
    <row r="122" spans="1:20">
      <c r="C122" t="str">
        <f t="shared" si="1"/>
        <v/>
      </c>
    </row>
    <row r="123" spans="1:20">
      <c r="A123" t="s">
        <v>81</v>
      </c>
      <c r="B123">
        <v>1</v>
      </c>
      <c r="C123" t="str">
        <f t="shared" si="1"/>
        <v>Pacífica1</v>
      </c>
      <c r="D123">
        <v>11771</v>
      </c>
      <c r="E123">
        <v>60555</v>
      </c>
      <c r="F123">
        <v>11753</v>
      </c>
      <c r="G123">
        <v>62107</v>
      </c>
      <c r="H123">
        <v>11238</v>
      </c>
      <c r="I123">
        <v>61785</v>
      </c>
      <c r="J123">
        <v>9470</v>
      </c>
      <c r="K123">
        <v>57522</v>
      </c>
      <c r="L123">
        <v>10711</v>
      </c>
      <c r="M123">
        <v>62208</v>
      </c>
      <c r="T123" t="s">
        <v>81</v>
      </c>
    </row>
    <row r="124" spans="1:20">
      <c r="A124" t="s">
        <v>81</v>
      </c>
      <c r="B124">
        <v>2</v>
      </c>
      <c r="C124" t="str">
        <f t="shared" si="1"/>
        <v>Pacífica2</v>
      </c>
      <c r="D124">
        <v>250.08500000000001</v>
      </c>
      <c r="E124">
        <v>246.78100000000001</v>
      </c>
      <c r="F124">
        <v>246.68299999999999</v>
      </c>
      <c r="G124">
        <v>241.643</v>
      </c>
      <c r="H124">
        <v>244.822</v>
      </c>
      <c r="I124">
        <v>236.55699999999999</v>
      </c>
      <c r="J124">
        <v>253.33099999999999</v>
      </c>
      <c r="K124">
        <v>238.852</v>
      </c>
      <c r="L124">
        <v>250.61500000000001</v>
      </c>
      <c r="M124">
        <v>235.98599999999999</v>
      </c>
    </row>
    <row r="125" spans="1:20">
      <c r="C125" t="str">
        <f t="shared" si="1"/>
        <v/>
      </c>
    </row>
    <row r="126" spans="1:20">
      <c r="A126" t="s">
        <v>82</v>
      </c>
      <c r="B126">
        <v>1</v>
      </c>
      <c r="C126" t="str">
        <f t="shared" si="1"/>
        <v>Santanderes1</v>
      </c>
      <c r="D126">
        <v>11241</v>
      </c>
      <c r="E126">
        <v>30576</v>
      </c>
      <c r="F126">
        <v>9767</v>
      </c>
      <c r="G126">
        <v>30900</v>
      </c>
      <c r="H126">
        <v>9956</v>
      </c>
      <c r="I126">
        <v>31522</v>
      </c>
      <c r="J126">
        <v>8288</v>
      </c>
      <c r="K126">
        <v>29893</v>
      </c>
      <c r="L126">
        <v>8872</v>
      </c>
      <c r="M126">
        <v>33227</v>
      </c>
      <c r="T126" t="s">
        <v>82</v>
      </c>
    </row>
    <row r="127" spans="1:20">
      <c r="A127" t="s">
        <v>82</v>
      </c>
      <c r="B127">
        <v>2</v>
      </c>
      <c r="C127" t="str">
        <f t="shared" si="1"/>
        <v>Santanderes2</v>
      </c>
      <c r="D127">
        <v>264.57100000000003</v>
      </c>
      <c r="E127">
        <v>265.86799999999999</v>
      </c>
      <c r="F127">
        <v>269.07900000000001</v>
      </c>
      <c r="G127">
        <v>262.49299999999999</v>
      </c>
      <c r="H127">
        <v>266.185</v>
      </c>
      <c r="I127">
        <v>258.89</v>
      </c>
      <c r="J127">
        <v>273.64100000000002</v>
      </c>
      <c r="K127">
        <v>258.52100000000002</v>
      </c>
      <c r="L127">
        <v>272.27699999999999</v>
      </c>
      <c r="M127">
        <v>254.483</v>
      </c>
    </row>
  </sheetData>
  <mergeCells count="10">
    <mergeCell ref="D1:E1"/>
    <mergeCell ref="F1:G1"/>
    <mergeCell ref="H1:I1"/>
    <mergeCell ref="J1:K1"/>
    <mergeCell ref="L1:M1"/>
    <mergeCell ref="D103:E103"/>
    <mergeCell ref="F103:G103"/>
    <mergeCell ref="H103:I103"/>
    <mergeCell ref="J103:K103"/>
    <mergeCell ref="L103:M10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workbookViewId="0"/>
  </sheetViews>
  <sheetFormatPr baseColWidth="10" defaultRowHeight="14" x14ac:dyDescent="0"/>
  <sheetData>
    <row r="1" spans="1:18">
      <c r="B1" s="49">
        <v>2017</v>
      </c>
      <c r="C1" s="49"/>
      <c r="D1" s="49">
        <f>B1+1</f>
        <v>2018</v>
      </c>
      <c r="E1" s="49"/>
      <c r="F1" s="49">
        <f>D1+1</f>
        <v>2019</v>
      </c>
      <c r="G1" s="49"/>
      <c r="H1" s="49">
        <f>F1+1</f>
        <v>2020</v>
      </c>
      <c r="I1" s="49"/>
      <c r="J1" s="49">
        <f>H1+1</f>
        <v>2021</v>
      </c>
      <c r="K1" s="49"/>
    </row>
    <row r="2" spans="1:18">
      <c r="B2" s="1" t="s">
        <v>105</v>
      </c>
      <c r="C2" s="1" t="s">
        <v>106</v>
      </c>
      <c r="D2" s="1" t="s">
        <v>105</v>
      </c>
      <c r="E2" s="1" t="s">
        <v>106</v>
      </c>
      <c r="F2" s="1" t="s">
        <v>105</v>
      </c>
      <c r="G2" s="1" t="s">
        <v>106</v>
      </c>
      <c r="H2" s="1" t="s">
        <v>105</v>
      </c>
      <c r="I2" s="1" t="s">
        <v>106</v>
      </c>
      <c r="J2" s="1" t="s">
        <v>105</v>
      </c>
      <c r="K2" s="1" t="s">
        <v>106</v>
      </c>
    </row>
    <row r="3" spans="1:18">
      <c r="A3" t="s">
        <v>42</v>
      </c>
      <c r="B3">
        <v>64.540000000000006</v>
      </c>
      <c r="C3">
        <v>35.46</v>
      </c>
      <c r="D3">
        <v>63.18</v>
      </c>
      <c r="E3">
        <v>36.82</v>
      </c>
      <c r="F3">
        <v>70.760000000000005</v>
      </c>
      <c r="G3">
        <v>29.24</v>
      </c>
      <c r="H3">
        <v>61.17</v>
      </c>
      <c r="I3">
        <v>38.83</v>
      </c>
      <c r="J3">
        <v>63.51</v>
      </c>
      <c r="K3">
        <v>36.49</v>
      </c>
      <c r="N3">
        <v>2017</v>
      </c>
      <c r="O3">
        <f>N3+1</f>
        <v>2018</v>
      </c>
      <c r="P3">
        <f>O3+1</f>
        <v>2019</v>
      </c>
      <c r="Q3">
        <f>P3+1</f>
        <v>2020</v>
      </c>
      <c r="R3">
        <f>Q3+1</f>
        <v>2021</v>
      </c>
    </row>
    <row r="4" spans="1:18">
      <c r="A4" t="s">
        <v>43</v>
      </c>
      <c r="B4">
        <v>35.869999999999997</v>
      </c>
      <c r="C4">
        <v>64.13</v>
      </c>
      <c r="D4">
        <v>37.92</v>
      </c>
      <c r="E4">
        <v>62.08</v>
      </c>
      <c r="F4">
        <v>39.6</v>
      </c>
      <c r="G4">
        <v>60.4</v>
      </c>
      <c r="H4">
        <v>35.33</v>
      </c>
      <c r="I4">
        <v>64.67</v>
      </c>
      <c r="J4">
        <v>37.64</v>
      </c>
      <c r="K4">
        <v>62.36</v>
      </c>
    </row>
    <row r="5" spans="1:18">
      <c r="A5" t="s">
        <v>44</v>
      </c>
      <c r="B5">
        <v>57.13</v>
      </c>
      <c r="C5">
        <v>42.87</v>
      </c>
      <c r="D5">
        <v>60.42</v>
      </c>
      <c r="E5">
        <v>39.58</v>
      </c>
      <c r="F5">
        <v>60.67</v>
      </c>
      <c r="G5">
        <v>39.33</v>
      </c>
      <c r="H5">
        <v>56.95</v>
      </c>
      <c r="I5">
        <v>43.05</v>
      </c>
      <c r="J5">
        <v>61.5</v>
      </c>
      <c r="K5">
        <v>38.5</v>
      </c>
      <c r="M5" t="str">
        <f>Hoja2!A2</f>
        <v>Amazonas</v>
      </c>
      <c r="N5">
        <v>2017</v>
      </c>
      <c r="O5">
        <f>N5+1</f>
        <v>2018</v>
      </c>
      <c r="P5">
        <f>O5+1</f>
        <v>2019</v>
      </c>
      <c r="Q5">
        <f>P5+1</f>
        <v>2020</v>
      </c>
      <c r="R5">
        <f>Q5+1</f>
        <v>2021</v>
      </c>
    </row>
    <row r="6" spans="1:18">
      <c r="A6" t="s">
        <v>83</v>
      </c>
      <c r="B6">
        <v>45.78</v>
      </c>
      <c r="C6">
        <v>54.22</v>
      </c>
      <c r="D6">
        <v>47.19</v>
      </c>
      <c r="E6">
        <v>52.81</v>
      </c>
      <c r="F6">
        <v>50.4</v>
      </c>
      <c r="G6">
        <v>49.6</v>
      </c>
      <c r="H6">
        <v>46.66</v>
      </c>
      <c r="I6">
        <v>53.34</v>
      </c>
      <c r="J6">
        <v>49.24</v>
      </c>
      <c r="K6">
        <v>50.76</v>
      </c>
      <c r="L6" s="49" t="s">
        <v>111</v>
      </c>
      <c r="M6" t="s">
        <v>107</v>
      </c>
      <c r="N6" s="3">
        <f>IFERROR(VLOOKUP($M$5,$A$3:$K$35,3,0),"")</f>
        <v>35.46</v>
      </c>
      <c r="O6" s="3">
        <f>IFERROR(VLOOKUP($M$5,$A$3:$K$35,5,0),"")</f>
        <v>36.82</v>
      </c>
      <c r="P6" s="3">
        <f>IFERROR(VLOOKUP($M$5,$A$3:$K$35,7,0),"")</f>
        <v>29.24</v>
      </c>
      <c r="Q6" s="3">
        <f>IFERROR(VLOOKUP($M$5,$A$3:$K$35,9,0),"")</f>
        <v>38.83</v>
      </c>
      <c r="R6" s="3">
        <f>IFERROR(VLOOKUP($M$5,$A$3:$K$35,11,0),"")</f>
        <v>36.49</v>
      </c>
    </row>
    <row r="7" spans="1:18">
      <c r="A7" t="s">
        <v>99</v>
      </c>
      <c r="B7">
        <v>16.989999999999998</v>
      </c>
      <c r="C7">
        <v>83.01</v>
      </c>
      <c r="D7">
        <v>17.38</v>
      </c>
      <c r="E7">
        <v>82.62</v>
      </c>
      <c r="F7">
        <v>18.66</v>
      </c>
      <c r="G7">
        <v>81.34</v>
      </c>
      <c r="H7">
        <v>15</v>
      </c>
      <c r="I7">
        <v>85</v>
      </c>
      <c r="J7">
        <v>16.489999999999998</v>
      </c>
      <c r="K7">
        <v>83.51</v>
      </c>
      <c r="L7" s="49"/>
      <c r="M7" t="s">
        <v>108</v>
      </c>
      <c r="N7" s="3">
        <f>100-N6</f>
        <v>64.539999999999992</v>
      </c>
      <c r="O7" s="3">
        <f t="shared" ref="O7:R7" si="0">100-O6</f>
        <v>63.18</v>
      </c>
      <c r="P7" s="3">
        <f t="shared" si="0"/>
        <v>70.760000000000005</v>
      </c>
      <c r="Q7" s="3">
        <f t="shared" si="0"/>
        <v>61.17</v>
      </c>
      <c r="R7" s="3">
        <f t="shared" si="0"/>
        <v>63.51</v>
      </c>
    </row>
    <row r="8" spans="1:18">
      <c r="A8" t="s">
        <v>84</v>
      </c>
      <c r="B8">
        <v>56.66</v>
      </c>
      <c r="C8">
        <v>43.34</v>
      </c>
      <c r="D8">
        <v>59.39</v>
      </c>
      <c r="E8">
        <v>40.61</v>
      </c>
      <c r="F8">
        <v>61.42</v>
      </c>
      <c r="G8">
        <v>38.58</v>
      </c>
      <c r="H8">
        <v>58.08</v>
      </c>
      <c r="I8">
        <v>41.92</v>
      </c>
      <c r="J8">
        <v>61.22</v>
      </c>
      <c r="K8">
        <v>38.78</v>
      </c>
      <c r="L8" s="49" t="s">
        <v>112</v>
      </c>
      <c r="M8" t="s">
        <v>109</v>
      </c>
      <c r="N8" s="3">
        <f>IFERROR(VLOOKUP($M$5,$A$42:$K$74,3,0),"")</f>
        <v>14.52</v>
      </c>
      <c r="O8" s="3">
        <f>IFERROR(VLOOKUP($M$5,$A$42:$K$74,5,0),"")</f>
        <v>17.16</v>
      </c>
      <c r="P8" s="3">
        <f>IFERROR(VLOOKUP($M$5,$A$42:$K$74,7,0),"")</f>
        <v>15.24</v>
      </c>
      <c r="Q8" s="3">
        <f>IFERROR(VLOOKUP($M$5,$A$42:$K$74,9,0),"")</f>
        <v>21.83</v>
      </c>
      <c r="R8" s="3">
        <f>IFERROR(VLOOKUP($M$5,$A$42:$K$74,11,0),"")</f>
        <v>23.08</v>
      </c>
    </row>
    <row r="9" spans="1:18">
      <c r="A9" t="s">
        <v>85</v>
      </c>
      <c r="B9">
        <v>42.94</v>
      </c>
      <c r="C9">
        <v>57.06</v>
      </c>
      <c r="D9">
        <v>44.56</v>
      </c>
      <c r="E9">
        <v>55.44</v>
      </c>
      <c r="F9">
        <v>44.52</v>
      </c>
      <c r="G9">
        <v>55.48</v>
      </c>
      <c r="H9">
        <v>38.49</v>
      </c>
      <c r="I9">
        <v>61.51</v>
      </c>
      <c r="J9">
        <v>40.6</v>
      </c>
      <c r="K9">
        <v>59.4</v>
      </c>
      <c r="L9" s="49"/>
      <c r="M9" t="s">
        <v>110</v>
      </c>
      <c r="N9" s="3">
        <f>100-N8</f>
        <v>85.48</v>
      </c>
      <c r="O9" s="3">
        <f t="shared" ref="O9" si="1">100-O8</f>
        <v>82.84</v>
      </c>
      <c r="P9" s="3">
        <f t="shared" ref="P9" si="2">100-P8</f>
        <v>84.76</v>
      </c>
      <c r="Q9" s="3">
        <f t="shared" ref="Q9" si="3">100-Q8</f>
        <v>78.17</v>
      </c>
      <c r="R9" s="3">
        <f t="shared" ref="R9" si="4">100-R8</f>
        <v>76.92</v>
      </c>
    </row>
    <row r="10" spans="1:18">
      <c r="A10" t="s">
        <v>49</v>
      </c>
      <c r="B10">
        <v>40.67</v>
      </c>
      <c r="C10">
        <v>59.33</v>
      </c>
      <c r="D10">
        <v>41.45</v>
      </c>
      <c r="E10">
        <v>58.55</v>
      </c>
      <c r="F10">
        <v>44.67</v>
      </c>
      <c r="G10">
        <v>55.33</v>
      </c>
      <c r="H10">
        <v>38.28</v>
      </c>
      <c r="I10">
        <v>61.72</v>
      </c>
      <c r="J10">
        <v>42.48</v>
      </c>
      <c r="K10">
        <v>57.52</v>
      </c>
    </row>
    <row r="11" spans="1:18">
      <c r="A11" t="s">
        <v>86</v>
      </c>
      <c r="B11">
        <v>53</v>
      </c>
      <c r="C11">
        <v>47</v>
      </c>
      <c r="D11">
        <v>56.82</v>
      </c>
      <c r="E11">
        <v>43.18</v>
      </c>
      <c r="F11">
        <v>58.85</v>
      </c>
      <c r="G11">
        <v>41.15</v>
      </c>
      <c r="H11">
        <v>50.47</v>
      </c>
      <c r="I11">
        <v>49.53</v>
      </c>
      <c r="J11">
        <v>54.92</v>
      </c>
      <c r="K11">
        <v>45.08</v>
      </c>
    </row>
    <row r="12" spans="1:18">
      <c r="A12" t="s">
        <v>51</v>
      </c>
      <c r="B12">
        <v>43.52</v>
      </c>
      <c r="C12">
        <v>56.48</v>
      </c>
      <c r="D12">
        <v>46.17</v>
      </c>
      <c r="E12">
        <v>53.83</v>
      </c>
      <c r="F12">
        <v>48.03</v>
      </c>
      <c r="G12">
        <v>51.97</v>
      </c>
      <c r="H12">
        <v>43.23</v>
      </c>
      <c r="I12">
        <v>56.77</v>
      </c>
      <c r="J12">
        <v>42.96</v>
      </c>
      <c r="K12">
        <v>57.04</v>
      </c>
    </row>
    <row r="13" spans="1:18">
      <c r="A13" t="s">
        <v>52</v>
      </c>
      <c r="B13">
        <v>59.41</v>
      </c>
      <c r="C13">
        <v>40.590000000000003</v>
      </c>
      <c r="D13">
        <v>61.08</v>
      </c>
      <c r="E13">
        <v>38.92</v>
      </c>
      <c r="F13">
        <v>60.96</v>
      </c>
      <c r="G13">
        <v>39.04</v>
      </c>
      <c r="H13">
        <v>54.52</v>
      </c>
      <c r="I13">
        <v>45.48</v>
      </c>
      <c r="J13">
        <v>58.23</v>
      </c>
      <c r="K13">
        <v>41.77</v>
      </c>
    </row>
    <row r="14" spans="1:18">
      <c r="A14" t="s">
        <v>53</v>
      </c>
      <c r="B14">
        <v>56.3</v>
      </c>
      <c r="C14">
        <v>43.7</v>
      </c>
      <c r="D14">
        <v>56.69</v>
      </c>
      <c r="E14">
        <v>43.31</v>
      </c>
      <c r="F14">
        <v>58.11</v>
      </c>
      <c r="G14">
        <v>41.89</v>
      </c>
      <c r="H14">
        <v>53.78</v>
      </c>
      <c r="I14">
        <v>46.22</v>
      </c>
      <c r="J14">
        <v>55.96</v>
      </c>
      <c r="K14">
        <v>44.04</v>
      </c>
    </row>
    <row r="15" spans="1:18">
      <c r="A15" t="s">
        <v>87</v>
      </c>
      <c r="B15">
        <v>60.72</v>
      </c>
      <c r="C15">
        <v>39.28</v>
      </c>
      <c r="D15">
        <v>63.85</v>
      </c>
      <c r="E15">
        <v>36.15</v>
      </c>
      <c r="F15">
        <v>67.260000000000005</v>
      </c>
      <c r="G15">
        <v>32.74</v>
      </c>
      <c r="H15">
        <v>59.84</v>
      </c>
      <c r="I15">
        <v>40.159999999999997</v>
      </c>
      <c r="J15">
        <v>63.26</v>
      </c>
      <c r="K15">
        <v>36.74</v>
      </c>
    </row>
    <row r="16" spans="1:18">
      <c r="A16" t="s">
        <v>56</v>
      </c>
      <c r="B16">
        <v>33.29</v>
      </c>
      <c r="C16">
        <v>66.709999999999994</v>
      </c>
      <c r="D16">
        <v>33.74</v>
      </c>
      <c r="E16">
        <v>66.260000000000005</v>
      </c>
      <c r="F16">
        <v>34.159999999999997</v>
      </c>
      <c r="G16">
        <v>65.84</v>
      </c>
      <c r="H16">
        <v>27.08</v>
      </c>
      <c r="I16">
        <v>72.92</v>
      </c>
      <c r="J16">
        <v>27</v>
      </c>
      <c r="K16">
        <v>73</v>
      </c>
    </row>
    <row r="17" spans="1:11">
      <c r="A17" t="s">
        <v>88</v>
      </c>
      <c r="B17">
        <v>68.61</v>
      </c>
      <c r="C17">
        <v>31.39</v>
      </c>
      <c r="D17">
        <v>69.900000000000006</v>
      </c>
      <c r="E17">
        <v>30.1</v>
      </c>
      <c r="F17">
        <v>70.67</v>
      </c>
      <c r="G17">
        <v>29.33</v>
      </c>
      <c r="H17">
        <v>66.099999999999994</v>
      </c>
      <c r="I17">
        <v>33.9</v>
      </c>
      <c r="J17">
        <v>69.36</v>
      </c>
      <c r="K17">
        <v>30.64</v>
      </c>
    </row>
    <row r="18" spans="1:11">
      <c r="A18" t="s">
        <v>89</v>
      </c>
      <c r="B18">
        <v>58.11</v>
      </c>
      <c r="C18">
        <v>41.89</v>
      </c>
      <c r="D18">
        <v>61.36</v>
      </c>
      <c r="E18">
        <v>38.64</v>
      </c>
      <c r="F18">
        <v>77.64</v>
      </c>
      <c r="G18">
        <v>22.36</v>
      </c>
      <c r="H18">
        <v>63.12</v>
      </c>
      <c r="I18">
        <v>36.880000000000003</v>
      </c>
      <c r="J18">
        <v>75.64</v>
      </c>
      <c r="K18">
        <v>24.36</v>
      </c>
    </row>
    <row r="19" spans="1:11">
      <c r="A19" t="s">
        <v>58</v>
      </c>
      <c r="B19">
        <v>54.52</v>
      </c>
      <c r="C19">
        <v>45.48</v>
      </c>
      <c r="D19">
        <v>55.69</v>
      </c>
      <c r="E19">
        <v>44.31</v>
      </c>
      <c r="F19">
        <v>58.49</v>
      </c>
      <c r="G19">
        <v>41.51</v>
      </c>
      <c r="H19">
        <v>52.19</v>
      </c>
      <c r="I19">
        <v>47.81</v>
      </c>
      <c r="J19">
        <v>56.03</v>
      </c>
      <c r="K19">
        <v>43.97</v>
      </c>
    </row>
    <row r="20" spans="1:11">
      <c r="A20" t="s">
        <v>59</v>
      </c>
      <c r="B20">
        <v>50.66</v>
      </c>
      <c r="C20">
        <v>49.34</v>
      </c>
      <c r="D20">
        <v>50.84</v>
      </c>
      <c r="E20">
        <v>49.16</v>
      </c>
      <c r="F20">
        <v>52.87</v>
      </c>
      <c r="G20">
        <v>47.13</v>
      </c>
      <c r="H20">
        <v>46.12</v>
      </c>
      <c r="I20">
        <v>53.88</v>
      </c>
      <c r="J20">
        <v>48.18</v>
      </c>
      <c r="K20">
        <v>51.82</v>
      </c>
    </row>
    <row r="21" spans="1:11">
      <c r="A21" t="s">
        <v>60</v>
      </c>
      <c r="B21">
        <v>58.28</v>
      </c>
      <c r="C21">
        <v>41.72</v>
      </c>
      <c r="D21">
        <v>61.07</v>
      </c>
      <c r="E21">
        <v>38.93</v>
      </c>
      <c r="F21">
        <v>64.790000000000006</v>
      </c>
      <c r="G21">
        <v>35.21</v>
      </c>
      <c r="H21">
        <v>57.69</v>
      </c>
      <c r="I21">
        <v>42.31</v>
      </c>
      <c r="J21">
        <v>61.92</v>
      </c>
      <c r="K21">
        <v>38.08</v>
      </c>
    </row>
    <row r="22" spans="1:11">
      <c r="A22" t="s">
        <v>61</v>
      </c>
      <c r="B22">
        <v>56.45</v>
      </c>
      <c r="C22">
        <v>43.55</v>
      </c>
      <c r="D22">
        <v>58.67</v>
      </c>
      <c r="E22">
        <v>41.33</v>
      </c>
      <c r="F22">
        <v>60.06</v>
      </c>
      <c r="G22">
        <v>39.94</v>
      </c>
      <c r="H22">
        <v>57.65</v>
      </c>
      <c r="I22">
        <v>42.35</v>
      </c>
      <c r="J22">
        <v>59.77</v>
      </c>
      <c r="K22">
        <v>40.229999999999997</v>
      </c>
    </row>
    <row r="23" spans="1:11">
      <c r="A23" t="s">
        <v>62</v>
      </c>
      <c r="B23">
        <v>38.46</v>
      </c>
      <c r="C23">
        <v>61.54</v>
      </c>
      <c r="D23">
        <v>39.270000000000003</v>
      </c>
      <c r="E23">
        <v>60.73</v>
      </c>
      <c r="F23">
        <v>41.89</v>
      </c>
      <c r="G23">
        <v>58.11</v>
      </c>
      <c r="H23">
        <v>36.35</v>
      </c>
      <c r="I23">
        <v>63.65</v>
      </c>
      <c r="J23">
        <v>37.83</v>
      </c>
      <c r="K23">
        <v>62.17</v>
      </c>
    </row>
    <row r="24" spans="1:11">
      <c r="A24" t="s">
        <v>63</v>
      </c>
      <c r="B24">
        <v>56.62</v>
      </c>
      <c r="C24">
        <v>43.38</v>
      </c>
      <c r="D24">
        <v>58.98</v>
      </c>
      <c r="E24">
        <v>41.02</v>
      </c>
      <c r="F24">
        <v>60.03</v>
      </c>
      <c r="G24">
        <v>39.97</v>
      </c>
      <c r="H24">
        <v>53.99</v>
      </c>
      <c r="I24">
        <v>46.01</v>
      </c>
      <c r="J24">
        <v>57.56</v>
      </c>
      <c r="K24">
        <v>42.44</v>
      </c>
    </row>
    <row r="25" spans="1:11">
      <c r="A25" t="s">
        <v>64</v>
      </c>
      <c r="B25">
        <v>47.8</v>
      </c>
      <c r="C25">
        <v>52.2</v>
      </c>
      <c r="D25">
        <v>49.22</v>
      </c>
      <c r="E25">
        <v>50.78</v>
      </c>
      <c r="F25">
        <v>50.82</v>
      </c>
      <c r="G25">
        <v>49.18</v>
      </c>
      <c r="H25">
        <v>48.13</v>
      </c>
      <c r="I25">
        <v>51.87</v>
      </c>
      <c r="J25">
        <v>49.79</v>
      </c>
      <c r="K25">
        <v>50.21</v>
      </c>
    </row>
    <row r="26" spans="1:11">
      <c r="A26" t="s">
        <v>65</v>
      </c>
      <c r="B26">
        <v>62.93</v>
      </c>
      <c r="C26">
        <v>37.07</v>
      </c>
      <c r="D26">
        <v>64.349999999999994</v>
      </c>
      <c r="E26">
        <v>35.65</v>
      </c>
      <c r="F26">
        <v>66.39</v>
      </c>
      <c r="G26">
        <v>33.61</v>
      </c>
      <c r="H26">
        <v>57.87</v>
      </c>
      <c r="I26">
        <v>42.13</v>
      </c>
      <c r="J26">
        <v>62.59</v>
      </c>
      <c r="K26">
        <v>37.409999999999997</v>
      </c>
    </row>
    <row r="27" spans="1:11">
      <c r="A27" t="s">
        <v>90</v>
      </c>
      <c r="B27">
        <v>35.869999999999997</v>
      </c>
      <c r="C27">
        <v>64.13</v>
      </c>
      <c r="D27">
        <v>37.729999999999997</v>
      </c>
      <c r="E27">
        <v>62.27</v>
      </c>
      <c r="F27">
        <v>39.42</v>
      </c>
      <c r="G27">
        <v>60.58</v>
      </c>
      <c r="H27">
        <v>34.380000000000003</v>
      </c>
      <c r="I27">
        <v>65.62</v>
      </c>
      <c r="J27">
        <v>36.46</v>
      </c>
      <c r="K27">
        <v>63.54</v>
      </c>
    </row>
    <row r="28" spans="1:11">
      <c r="A28" t="s">
        <v>67</v>
      </c>
      <c r="B28">
        <v>36.06</v>
      </c>
      <c r="C28">
        <v>63.94</v>
      </c>
      <c r="D28">
        <v>36.06</v>
      </c>
      <c r="E28">
        <v>63.94</v>
      </c>
      <c r="F28">
        <v>37.950000000000003</v>
      </c>
      <c r="G28">
        <v>62.05</v>
      </c>
      <c r="H28">
        <v>32.67</v>
      </c>
      <c r="I28">
        <v>67.33</v>
      </c>
      <c r="J28">
        <v>35.24</v>
      </c>
      <c r="K28">
        <v>64.760000000000005</v>
      </c>
    </row>
    <row r="29" spans="1:11">
      <c r="A29" t="s">
        <v>91</v>
      </c>
      <c r="B29">
        <v>34.04</v>
      </c>
      <c r="C29">
        <v>65.959999999999994</v>
      </c>
      <c r="D29">
        <v>36.14</v>
      </c>
      <c r="E29">
        <v>63.86</v>
      </c>
      <c r="F29">
        <v>35.659999999999997</v>
      </c>
      <c r="G29">
        <v>64.34</v>
      </c>
      <c r="H29">
        <v>35.94</v>
      </c>
      <c r="I29">
        <v>64.06</v>
      </c>
      <c r="J29">
        <v>35.840000000000003</v>
      </c>
      <c r="K29">
        <v>64.16</v>
      </c>
    </row>
    <row r="30" spans="1:11">
      <c r="A30" t="s">
        <v>69</v>
      </c>
      <c r="B30">
        <v>41.32</v>
      </c>
      <c r="C30">
        <v>58.68</v>
      </c>
      <c r="D30">
        <v>40.07</v>
      </c>
      <c r="E30">
        <v>59.93</v>
      </c>
      <c r="F30">
        <v>42.22</v>
      </c>
      <c r="G30">
        <v>57.78</v>
      </c>
      <c r="H30">
        <v>37.57</v>
      </c>
      <c r="I30">
        <v>62.43</v>
      </c>
      <c r="J30">
        <v>37.44</v>
      </c>
      <c r="K30">
        <v>62.56</v>
      </c>
    </row>
    <row r="31" spans="1:11">
      <c r="A31" t="s">
        <v>70</v>
      </c>
      <c r="B31">
        <v>67.08</v>
      </c>
      <c r="C31">
        <v>32.92</v>
      </c>
      <c r="D31">
        <v>68.55</v>
      </c>
      <c r="E31">
        <v>31.45</v>
      </c>
      <c r="F31">
        <v>69.88</v>
      </c>
      <c r="G31">
        <v>30.12</v>
      </c>
      <c r="H31">
        <v>63.77</v>
      </c>
      <c r="I31">
        <v>36.229999999999997</v>
      </c>
      <c r="J31">
        <v>66.64</v>
      </c>
      <c r="K31">
        <v>33.36</v>
      </c>
    </row>
    <row r="32" spans="1:11">
      <c r="A32" t="s">
        <v>71</v>
      </c>
      <c r="B32">
        <v>43.51</v>
      </c>
      <c r="C32">
        <v>56.49</v>
      </c>
      <c r="D32">
        <v>45.51</v>
      </c>
      <c r="E32">
        <v>54.49</v>
      </c>
      <c r="F32">
        <v>45.56</v>
      </c>
      <c r="G32">
        <v>54.44</v>
      </c>
      <c r="H32">
        <v>42.13</v>
      </c>
      <c r="I32">
        <v>57.87</v>
      </c>
      <c r="J32">
        <v>43.73</v>
      </c>
      <c r="K32">
        <v>56.27</v>
      </c>
    </row>
    <row r="33" spans="1:11">
      <c r="A33" t="s">
        <v>92</v>
      </c>
      <c r="B33">
        <v>35.76</v>
      </c>
      <c r="C33">
        <v>64.239999999999995</v>
      </c>
      <c r="D33">
        <v>36.29</v>
      </c>
      <c r="E33">
        <v>63.71</v>
      </c>
      <c r="F33">
        <v>38.79</v>
      </c>
      <c r="G33">
        <v>61.21</v>
      </c>
      <c r="H33">
        <v>33.950000000000003</v>
      </c>
      <c r="I33">
        <v>66.05</v>
      </c>
      <c r="J33">
        <v>37.869999999999997</v>
      </c>
      <c r="K33">
        <v>62.13</v>
      </c>
    </row>
    <row r="34" spans="1:11">
      <c r="A34" t="s">
        <v>93</v>
      </c>
      <c r="B34">
        <v>70.569999999999993</v>
      </c>
      <c r="C34">
        <v>29.43</v>
      </c>
      <c r="D34">
        <v>73.48</v>
      </c>
      <c r="E34">
        <v>26.52</v>
      </c>
      <c r="F34">
        <v>74.59</v>
      </c>
      <c r="G34">
        <v>25.41</v>
      </c>
      <c r="H34">
        <v>74.06</v>
      </c>
      <c r="I34">
        <v>25.94</v>
      </c>
      <c r="J34">
        <v>77.739999999999995</v>
      </c>
      <c r="K34">
        <v>22.26</v>
      </c>
    </row>
    <row r="35" spans="1:11">
      <c r="A35" t="s">
        <v>74</v>
      </c>
      <c r="B35">
        <v>58.76</v>
      </c>
      <c r="C35">
        <v>41.24</v>
      </c>
      <c r="D35">
        <v>57.77</v>
      </c>
      <c r="E35">
        <v>42.23</v>
      </c>
      <c r="F35">
        <v>66.459999999999994</v>
      </c>
      <c r="G35">
        <v>33.54</v>
      </c>
      <c r="H35">
        <v>61.81</v>
      </c>
      <c r="I35">
        <v>38.19</v>
      </c>
      <c r="J35">
        <v>68.75</v>
      </c>
      <c r="K35">
        <v>31.25</v>
      </c>
    </row>
    <row r="37" spans="1:11">
      <c r="A37" t="s">
        <v>5</v>
      </c>
      <c r="B37">
        <v>41.01</v>
      </c>
      <c r="C37">
        <v>58.99</v>
      </c>
      <c r="F37">
        <v>44.24</v>
      </c>
      <c r="G37">
        <v>55.76</v>
      </c>
      <c r="H37">
        <v>39.479999999999997</v>
      </c>
      <c r="I37">
        <v>60.52</v>
      </c>
      <c r="J37">
        <v>42.02</v>
      </c>
      <c r="K37">
        <v>57.98</v>
      </c>
    </row>
    <row r="41" spans="1:11">
      <c r="B41" s="49">
        <v>2017</v>
      </c>
      <c r="C41" s="49"/>
      <c r="D41" s="49">
        <f>B41+1</f>
        <v>2018</v>
      </c>
      <c r="E41" s="49"/>
      <c r="F41" s="49">
        <f>D41+1</f>
        <v>2019</v>
      </c>
      <c r="G41" s="49"/>
      <c r="H41" s="49">
        <f>F41+1</f>
        <v>2020</v>
      </c>
      <c r="I41" s="49"/>
      <c r="J41" s="49">
        <f>H41+1</f>
        <v>2021</v>
      </c>
      <c r="K41" s="49"/>
    </row>
    <row r="42" spans="1:11">
      <c r="A42" t="s">
        <v>42</v>
      </c>
      <c r="B42">
        <v>85.48</v>
      </c>
      <c r="C42">
        <v>14.52</v>
      </c>
      <c r="D42">
        <v>82.84</v>
      </c>
      <c r="E42">
        <v>17.16</v>
      </c>
      <c r="F42">
        <v>84.76</v>
      </c>
      <c r="G42">
        <v>15.24</v>
      </c>
      <c r="H42">
        <v>78.17</v>
      </c>
      <c r="I42">
        <v>21.83</v>
      </c>
      <c r="J42">
        <v>76.92</v>
      </c>
      <c r="K42">
        <v>23.08</v>
      </c>
    </row>
    <row r="43" spans="1:11">
      <c r="A43" t="s">
        <v>43</v>
      </c>
      <c r="B43">
        <v>33.57</v>
      </c>
      <c r="C43">
        <v>66.430000000000007</v>
      </c>
      <c r="D43">
        <v>32.78</v>
      </c>
      <c r="E43">
        <v>67.22</v>
      </c>
      <c r="F43">
        <v>30.63</v>
      </c>
      <c r="G43">
        <v>69.37</v>
      </c>
      <c r="H43">
        <v>24.17</v>
      </c>
      <c r="I43">
        <v>75.83</v>
      </c>
      <c r="J43">
        <v>21.48</v>
      </c>
      <c r="K43">
        <v>78.52</v>
      </c>
    </row>
    <row r="44" spans="1:11">
      <c r="A44" t="s">
        <v>44</v>
      </c>
      <c r="B44">
        <v>69.81</v>
      </c>
      <c r="C44">
        <v>30.19</v>
      </c>
      <c r="D44">
        <v>68.39</v>
      </c>
      <c r="E44">
        <v>31.61</v>
      </c>
      <c r="F44">
        <v>61.39</v>
      </c>
      <c r="G44">
        <v>38.61</v>
      </c>
      <c r="H44">
        <v>49.76</v>
      </c>
      <c r="I44">
        <v>50.24</v>
      </c>
      <c r="J44">
        <v>45.61</v>
      </c>
      <c r="K44">
        <v>54.39</v>
      </c>
    </row>
    <row r="45" spans="1:11">
      <c r="A45" t="s">
        <v>83</v>
      </c>
      <c r="B45">
        <v>43.44</v>
      </c>
      <c r="C45">
        <v>56.56</v>
      </c>
      <c r="D45">
        <v>41.12</v>
      </c>
      <c r="E45">
        <v>58.88</v>
      </c>
      <c r="F45">
        <v>39.9</v>
      </c>
      <c r="G45">
        <v>60.1</v>
      </c>
      <c r="H45">
        <v>32.14</v>
      </c>
      <c r="I45">
        <v>67.86</v>
      </c>
      <c r="J45">
        <v>29.06</v>
      </c>
      <c r="K45">
        <v>70.94</v>
      </c>
    </row>
    <row r="46" spans="1:11">
      <c r="A46" t="s">
        <v>99</v>
      </c>
      <c r="B46">
        <v>14.37</v>
      </c>
      <c r="C46">
        <v>85.63</v>
      </c>
      <c r="D46">
        <v>12.82</v>
      </c>
      <c r="E46">
        <v>87.18</v>
      </c>
      <c r="F46">
        <v>11.72</v>
      </c>
      <c r="G46">
        <v>88.28</v>
      </c>
      <c r="H46">
        <v>7.5</v>
      </c>
      <c r="I46">
        <v>92.5</v>
      </c>
      <c r="J46">
        <v>6.43</v>
      </c>
      <c r="K46">
        <v>93.57</v>
      </c>
    </row>
    <row r="47" spans="1:11">
      <c r="A47" t="s">
        <v>84</v>
      </c>
      <c r="B47">
        <v>57.1</v>
      </c>
      <c r="C47">
        <v>42.9</v>
      </c>
      <c r="D47">
        <v>57.53</v>
      </c>
      <c r="E47">
        <v>42.47</v>
      </c>
      <c r="F47">
        <v>55.64</v>
      </c>
      <c r="G47">
        <v>44.36</v>
      </c>
      <c r="H47">
        <v>47.97</v>
      </c>
      <c r="I47">
        <v>52.03</v>
      </c>
      <c r="J47">
        <v>42.2</v>
      </c>
      <c r="K47">
        <v>57.8</v>
      </c>
    </row>
    <row r="48" spans="1:11">
      <c r="A48" t="s">
        <v>85</v>
      </c>
      <c r="B48">
        <v>58.13</v>
      </c>
      <c r="C48">
        <v>41.87</v>
      </c>
      <c r="D48">
        <v>55.75</v>
      </c>
      <c r="E48">
        <v>44.25</v>
      </c>
      <c r="F48">
        <v>50.8</v>
      </c>
      <c r="G48">
        <v>49.2</v>
      </c>
      <c r="H48">
        <v>38.159999999999997</v>
      </c>
      <c r="I48">
        <v>61.84</v>
      </c>
      <c r="J48">
        <v>30.63</v>
      </c>
      <c r="K48">
        <v>69.37</v>
      </c>
    </row>
    <row r="49" spans="1:11">
      <c r="A49" t="s">
        <v>49</v>
      </c>
      <c r="B49">
        <v>45.98</v>
      </c>
      <c r="C49">
        <v>54.02</v>
      </c>
      <c r="D49">
        <v>42.77</v>
      </c>
      <c r="E49">
        <v>57.23</v>
      </c>
      <c r="F49">
        <v>40.29</v>
      </c>
      <c r="G49">
        <v>59.71</v>
      </c>
      <c r="H49">
        <v>29.84</v>
      </c>
      <c r="I49">
        <v>70.16</v>
      </c>
      <c r="J49">
        <v>26.5</v>
      </c>
      <c r="K49">
        <v>73.5</v>
      </c>
    </row>
    <row r="50" spans="1:11">
      <c r="A50" t="s">
        <v>86</v>
      </c>
      <c r="B50">
        <v>63.65</v>
      </c>
      <c r="C50">
        <v>36.35</v>
      </c>
      <c r="D50">
        <v>61.82</v>
      </c>
      <c r="E50">
        <v>38.18</v>
      </c>
      <c r="F50">
        <v>55.55</v>
      </c>
      <c r="G50">
        <v>44.45</v>
      </c>
      <c r="H50">
        <v>40.83</v>
      </c>
      <c r="I50">
        <v>59.17</v>
      </c>
      <c r="J50">
        <v>34.979999999999997</v>
      </c>
      <c r="K50">
        <v>65.02</v>
      </c>
    </row>
    <row r="51" spans="1:11">
      <c r="A51" t="s">
        <v>51</v>
      </c>
      <c r="B51">
        <v>56.57</v>
      </c>
      <c r="C51">
        <v>43.43</v>
      </c>
      <c r="D51">
        <v>55.26</v>
      </c>
      <c r="E51">
        <v>44.74</v>
      </c>
      <c r="F51">
        <v>52.33</v>
      </c>
      <c r="G51">
        <v>47.67</v>
      </c>
      <c r="H51">
        <v>39.28</v>
      </c>
      <c r="I51">
        <v>60.72</v>
      </c>
      <c r="J51">
        <v>32.74</v>
      </c>
      <c r="K51">
        <v>67.260000000000005</v>
      </c>
    </row>
    <row r="52" spans="1:11">
      <c r="A52" t="s">
        <v>52</v>
      </c>
      <c r="B52">
        <v>72.63</v>
      </c>
      <c r="C52">
        <v>27.37</v>
      </c>
      <c r="D52">
        <v>70.52</v>
      </c>
      <c r="E52">
        <v>29.48</v>
      </c>
      <c r="F52">
        <v>64.56</v>
      </c>
      <c r="G52">
        <v>35.44</v>
      </c>
      <c r="H52">
        <v>48.98</v>
      </c>
      <c r="I52">
        <v>51.02</v>
      </c>
      <c r="J52">
        <v>43.73</v>
      </c>
      <c r="K52">
        <v>56.27</v>
      </c>
    </row>
    <row r="53" spans="1:11">
      <c r="A53" t="s">
        <v>53</v>
      </c>
      <c r="B53">
        <v>58.69</v>
      </c>
      <c r="C53">
        <v>41.31</v>
      </c>
      <c r="D53">
        <v>56.45</v>
      </c>
      <c r="E53">
        <v>43.55</v>
      </c>
      <c r="F53">
        <v>53.23</v>
      </c>
      <c r="G53">
        <v>46.77</v>
      </c>
      <c r="H53">
        <v>41.73</v>
      </c>
      <c r="I53">
        <v>58.27</v>
      </c>
      <c r="J53">
        <v>36.39</v>
      </c>
      <c r="K53">
        <v>63.61</v>
      </c>
    </row>
    <row r="54" spans="1:11">
      <c r="A54" t="s">
        <v>87</v>
      </c>
      <c r="B54">
        <v>62.33</v>
      </c>
      <c r="C54">
        <v>37.67</v>
      </c>
      <c r="D54">
        <v>63.72</v>
      </c>
      <c r="E54">
        <v>36.28</v>
      </c>
      <c r="F54">
        <v>63.17</v>
      </c>
      <c r="G54">
        <v>36.83</v>
      </c>
      <c r="H54">
        <v>55.69</v>
      </c>
      <c r="I54">
        <v>44.31</v>
      </c>
      <c r="J54">
        <v>51.83</v>
      </c>
      <c r="K54">
        <v>48.17</v>
      </c>
    </row>
    <row r="55" spans="1:11">
      <c r="A55" t="s">
        <v>56</v>
      </c>
      <c r="B55">
        <v>40.83</v>
      </c>
      <c r="C55">
        <v>59.17</v>
      </c>
      <c r="D55">
        <v>36.69</v>
      </c>
      <c r="E55">
        <v>63.31</v>
      </c>
      <c r="F55">
        <v>32.6</v>
      </c>
      <c r="G55">
        <v>67.400000000000006</v>
      </c>
      <c r="H55">
        <v>20.27</v>
      </c>
      <c r="I55">
        <v>79.73</v>
      </c>
      <c r="J55">
        <v>15.35</v>
      </c>
      <c r="K55">
        <v>84.65</v>
      </c>
    </row>
    <row r="56" spans="1:11">
      <c r="A56" t="s">
        <v>88</v>
      </c>
      <c r="B56">
        <v>70.75</v>
      </c>
      <c r="C56">
        <v>29.25</v>
      </c>
      <c r="D56">
        <v>70.349999999999994</v>
      </c>
      <c r="E56">
        <v>29.65</v>
      </c>
      <c r="F56">
        <v>67.569999999999993</v>
      </c>
      <c r="G56">
        <v>32.43</v>
      </c>
      <c r="H56">
        <v>58.74</v>
      </c>
      <c r="I56">
        <v>41.26</v>
      </c>
      <c r="J56">
        <v>55.44</v>
      </c>
      <c r="K56">
        <v>44.56</v>
      </c>
    </row>
    <row r="57" spans="1:11">
      <c r="A57" t="s">
        <v>89</v>
      </c>
      <c r="B57">
        <v>88.07</v>
      </c>
      <c r="C57">
        <v>11.93</v>
      </c>
      <c r="D57">
        <v>84.62</v>
      </c>
      <c r="E57">
        <v>15.38</v>
      </c>
      <c r="F57">
        <v>81.709999999999994</v>
      </c>
      <c r="G57">
        <v>18.29</v>
      </c>
      <c r="H57">
        <v>72.39</v>
      </c>
      <c r="I57">
        <v>27.61</v>
      </c>
      <c r="J57">
        <v>81.14</v>
      </c>
      <c r="K57">
        <v>18.86</v>
      </c>
    </row>
    <row r="58" spans="1:11">
      <c r="A58" t="s">
        <v>58</v>
      </c>
      <c r="B58">
        <v>77.040000000000006</v>
      </c>
      <c r="C58">
        <v>22.96</v>
      </c>
      <c r="D58">
        <v>70.38</v>
      </c>
      <c r="E58">
        <v>29.62</v>
      </c>
      <c r="F58">
        <v>71.400000000000006</v>
      </c>
      <c r="G58">
        <v>28.6</v>
      </c>
      <c r="H58">
        <v>51.28</v>
      </c>
      <c r="I58">
        <v>48.72</v>
      </c>
      <c r="J58">
        <v>46.79</v>
      </c>
      <c r="K58">
        <v>53.21</v>
      </c>
    </row>
    <row r="59" spans="1:11">
      <c r="A59" t="s">
        <v>59</v>
      </c>
      <c r="B59">
        <v>59.36</v>
      </c>
      <c r="C59">
        <v>40.64</v>
      </c>
      <c r="D59">
        <v>55.31</v>
      </c>
      <c r="E59">
        <v>44.69</v>
      </c>
      <c r="F59">
        <v>50.18</v>
      </c>
      <c r="G59">
        <v>49.82</v>
      </c>
      <c r="H59">
        <v>36.25</v>
      </c>
      <c r="I59">
        <v>63.75</v>
      </c>
      <c r="J59">
        <v>28.33</v>
      </c>
      <c r="K59">
        <v>71.67</v>
      </c>
    </row>
    <row r="60" spans="1:11">
      <c r="A60" t="s">
        <v>60</v>
      </c>
      <c r="B60">
        <v>60.62</v>
      </c>
      <c r="C60">
        <v>39.380000000000003</v>
      </c>
      <c r="D60">
        <v>61.66</v>
      </c>
      <c r="E60">
        <v>38.340000000000003</v>
      </c>
      <c r="F60">
        <v>61.07</v>
      </c>
      <c r="G60">
        <v>38.93</v>
      </c>
      <c r="H60">
        <v>51.54</v>
      </c>
      <c r="I60">
        <v>48.46</v>
      </c>
      <c r="J60">
        <v>47.85</v>
      </c>
      <c r="K60">
        <v>52.15</v>
      </c>
    </row>
    <row r="61" spans="1:11">
      <c r="A61" t="s">
        <v>61</v>
      </c>
      <c r="B61">
        <v>60.37</v>
      </c>
      <c r="C61">
        <v>39.630000000000003</v>
      </c>
      <c r="D61">
        <v>60.48</v>
      </c>
      <c r="E61">
        <v>39.520000000000003</v>
      </c>
      <c r="F61">
        <v>56.53</v>
      </c>
      <c r="G61">
        <v>43.47</v>
      </c>
      <c r="H61">
        <v>47.04</v>
      </c>
      <c r="I61">
        <v>52.96</v>
      </c>
      <c r="J61">
        <v>39.119999999999997</v>
      </c>
      <c r="K61">
        <v>60.88</v>
      </c>
    </row>
    <row r="62" spans="1:11">
      <c r="A62" t="s">
        <v>62</v>
      </c>
      <c r="B62">
        <v>44.62</v>
      </c>
      <c r="C62">
        <v>55.38</v>
      </c>
      <c r="D62">
        <v>41.61</v>
      </c>
      <c r="E62">
        <v>58.39</v>
      </c>
      <c r="F62">
        <v>38.549999999999997</v>
      </c>
      <c r="G62">
        <v>61.45</v>
      </c>
      <c r="H62">
        <v>26.86</v>
      </c>
      <c r="I62">
        <v>73.14</v>
      </c>
      <c r="J62">
        <v>22.72</v>
      </c>
      <c r="K62">
        <v>77.28</v>
      </c>
    </row>
    <row r="63" spans="1:11">
      <c r="A63" t="s">
        <v>63</v>
      </c>
      <c r="B63">
        <v>65.709999999999994</v>
      </c>
      <c r="C63">
        <v>34.29</v>
      </c>
      <c r="D63">
        <v>64.31</v>
      </c>
      <c r="E63">
        <v>35.69</v>
      </c>
      <c r="F63">
        <v>60.77</v>
      </c>
      <c r="G63">
        <v>39.229999999999997</v>
      </c>
      <c r="H63">
        <v>47.35</v>
      </c>
      <c r="I63">
        <v>52.65</v>
      </c>
      <c r="J63">
        <v>38.93</v>
      </c>
      <c r="K63">
        <v>61.07</v>
      </c>
    </row>
    <row r="64" spans="1:11">
      <c r="A64" t="s">
        <v>64</v>
      </c>
      <c r="B64">
        <v>50</v>
      </c>
      <c r="C64">
        <v>50</v>
      </c>
      <c r="D64">
        <v>47.93</v>
      </c>
      <c r="E64">
        <v>52.07</v>
      </c>
      <c r="F64">
        <v>44.27</v>
      </c>
      <c r="G64">
        <v>55.73</v>
      </c>
      <c r="H64">
        <v>35.07</v>
      </c>
      <c r="I64">
        <v>64.930000000000007</v>
      </c>
      <c r="J64">
        <v>28.92</v>
      </c>
      <c r="K64">
        <v>71.08</v>
      </c>
    </row>
    <row r="65" spans="1:11">
      <c r="A65" t="s">
        <v>65</v>
      </c>
      <c r="B65">
        <v>77.17</v>
      </c>
      <c r="C65">
        <v>22.83</v>
      </c>
      <c r="D65">
        <v>72.38</v>
      </c>
      <c r="E65">
        <v>27.62</v>
      </c>
      <c r="F65">
        <v>66.819999999999993</v>
      </c>
      <c r="G65">
        <v>33.18</v>
      </c>
      <c r="H65">
        <v>49.97</v>
      </c>
      <c r="I65">
        <v>50.03</v>
      </c>
      <c r="J65">
        <v>43.36</v>
      </c>
      <c r="K65">
        <v>56.64</v>
      </c>
    </row>
    <row r="66" spans="1:11">
      <c r="A66" t="s">
        <v>90</v>
      </c>
      <c r="B66">
        <v>36.979999999999997</v>
      </c>
      <c r="C66">
        <v>63.02</v>
      </c>
      <c r="D66">
        <v>35.75</v>
      </c>
      <c r="E66">
        <v>64.25</v>
      </c>
      <c r="F66">
        <v>31.89</v>
      </c>
      <c r="G66">
        <v>68.11</v>
      </c>
      <c r="H66">
        <v>22.29</v>
      </c>
      <c r="I66">
        <v>77.709999999999994</v>
      </c>
      <c r="J66">
        <v>17.53</v>
      </c>
      <c r="K66">
        <v>82.47</v>
      </c>
    </row>
    <row r="67" spans="1:11">
      <c r="A67" t="s">
        <v>67</v>
      </c>
      <c r="B67">
        <v>34.61</v>
      </c>
      <c r="C67">
        <v>65.39</v>
      </c>
      <c r="D67">
        <v>33.42</v>
      </c>
      <c r="E67">
        <v>66.58</v>
      </c>
      <c r="F67">
        <v>30.15</v>
      </c>
      <c r="G67">
        <v>69.849999999999994</v>
      </c>
      <c r="H67">
        <v>21.48</v>
      </c>
      <c r="I67">
        <v>78.52</v>
      </c>
      <c r="J67">
        <v>18.809999999999999</v>
      </c>
      <c r="K67">
        <v>81.19</v>
      </c>
    </row>
    <row r="68" spans="1:11">
      <c r="A68" t="s">
        <v>91</v>
      </c>
      <c r="B68">
        <v>54.87</v>
      </c>
      <c r="C68">
        <v>45.13</v>
      </c>
      <c r="D68">
        <v>60.07</v>
      </c>
      <c r="E68">
        <v>39.93</v>
      </c>
      <c r="F68">
        <v>60.17</v>
      </c>
      <c r="G68">
        <v>39.83</v>
      </c>
      <c r="H68">
        <v>54.81</v>
      </c>
      <c r="I68">
        <v>45.19</v>
      </c>
      <c r="J68">
        <v>54.51</v>
      </c>
      <c r="K68">
        <v>45.49</v>
      </c>
    </row>
    <row r="69" spans="1:11">
      <c r="A69" t="s">
        <v>69</v>
      </c>
      <c r="B69">
        <v>42.61</v>
      </c>
      <c r="C69">
        <v>57.39</v>
      </c>
      <c r="D69">
        <v>39.54</v>
      </c>
      <c r="E69">
        <v>60.46</v>
      </c>
      <c r="F69">
        <v>36.32</v>
      </c>
      <c r="G69">
        <v>63.68</v>
      </c>
      <c r="H69">
        <v>26.73</v>
      </c>
      <c r="I69">
        <v>73.27</v>
      </c>
      <c r="J69">
        <v>21.53</v>
      </c>
      <c r="K69">
        <v>78.47</v>
      </c>
    </row>
    <row r="70" spans="1:11">
      <c r="A70" t="s">
        <v>70</v>
      </c>
      <c r="B70">
        <v>68.63</v>
      </c>
      <c r="C70">
        <v>31.37</v>
      </c>
      <c r="D70">
        <v>67.290000000000006</v>
      </c>
      <c r="E70">
        <v>32.71</v>
      </c>
      <c r="F70">
        <v>65.69</v>
      </c>
      <c r="G70">
        <v>34.31</v>
      </c>
      <c r="H70">
        <v>54.32</v>
      </c>
      <c r="I70">
        <v>45.68</v>
      </c>
      <c r="J70">
        <v>49.53</v>
      </c>
      <c r="K70">
        <v>50.47</v>
      </c>
    </row>
    <row r="71" spans="1:11">
      <c r="A71" t="s">
        <v>71</v>
      </c>
      <c r="B71">
        <v>49.48</v>
      </c>
      <c r="C71">
        <v>50.52</v>
      </c>
      <c r="D71">
        <v>48.55</v>
      </c>
      <c r="E71">
        <v>51.45</v>
      </c>
      <c r="F71">
        <v>44.32</v>
      </c>
      <c r="G71">
        <v>55.68</v>
      </c>
      <c r="H71">
        <v>35.19</v>
      </c>
      <c r="I71">
        <v>64.81</v>
      </c>
      <c r="J71">
        <v>29.39</v>
      </c>
      <c r="K71">
        <v>70.61</v>
      </c>
    </row>
    <row r="72" spans="1:11">
      <c r="A72" t="s">
        <v>92</v>
      </c>
      <c r="B72">
        <v>33.909999999999997</v>
      </c>
      <c r="C72">
        <v>66.09</v>
      </c>
      <c r="D72">
        <v>30.46</v>
      </c>
      <c r="E72">
        <v>69.540000000000006</v>
      </c>
      <c r="F72">
        <v>28.7</v>
      </c>
      <c r="G72">
        <v>71.3</v>
      </c>
      <c r="H72">
        <v>20.04</v>
      </c>
      <c r="I72">
        <v>79.959999999999994</v>
      </c>
      <c r="J72">
        <v>16.89</v>
      </c>
      <c r="K72">
        <v>83.11</v>
      </c>
    </row>
    <row r="73" spans="1:11">
      <c r="A73" t="s">
        <v>93</v>
      </c>
      <c r="B73">
        <v>90.63</v>
      </c>
      <c r="C73">
        <v>9.3699999999999992</v>
      </c>
      <c r="D73">
        <v>89.58</v>
      </c>
      <c r="E73">
        <v>10.42</v>
      </c>
      <c r="F73">
        <v>91.96</v>
      </c>
      <c r="G73">
        <v>8.0399999999999991</v>
      </c>
      <c r="H73">
        <v>85.67</v>
      </c>
      <c r="I73">
        <v>14.33</v>
      </c>
      <c r="J73">
        <v>89</v>
      </c>
      <c r="K73">
        <v>11</v>
      </c>
    </row>
    <row r="74" spans="1:11">
      <c r="A74" t="s">
        <v>74</v>
      </c>
      <c r="B74">
        <v>82.38</v>
      </c>
      <c r="C74">
        <v>17.62</v>
      </c>
      <c r="D74">
        <v>85.15</v>
      </c>
      <c r="E74">
        <v>14.85</v>
      </c>
      <c r="F74">
        <v>82.54</v>
      </c>
      <c r="G74">
        <v>17.46</v>
      </c>
      <c r="H74">
        <v>75.150000000000006</v>
      </c>
      <c r="I74">
        <v>24.85</v>
      </c>
      <c r="J74">
        <v>67.25</v>
      </c>
      <c r="K74">
        <v>32.75</v>
      </c>
    </row>
    <row r="76" spans="1:11">
      <c r="A76" t="s">
        <v>5</v>
      </c>
      <c r="B76">
        <v>43.22</v>
      </c>
      <c r="C76">
        <v>56.78</v>
      </c>
      <c r="D76">
        <v>41.54</v>
      </c>
      <c r="E76">
        <v>58.46</v>
      </c>
      <c r="F76">
        <v>39.159999999999997</v>
      </c>
      <c r="G76">
        <v>60.84</v>
      </c>
      <c r="H76">
        <v>30.26</v>
      </c>
      <c r="I76">
        <v>69.739999999999995</v>
      </c>
      <c r="J76">
        <v>26.36</v>
      </c>
      <c r="K76">
        <v>73.64</v>
      </c>
    </row>
    <row r="80" spans="1:11">
      <c r="A80" t="s">
        <v>113</v>
      </c>
      <c r="B80" t="s">
        <v>105</v>
      </c>
      <c r="C80" t="s">
        <v>106</v>
      </c>
      <c r="D80" t="s">
        <v>5</v>
      </c>
      <c r="F80" t="s">
        <v>113</v>
      </c>
      <c r="G80" t="s">
        <v>105</v>
      </c>
      <c r="H80" t="s">
        <v>106</v>
      </c>
      <c r="I80" t="s">
        <v>5</v>
      </c>
    </row>
    <row r="82" spans="1:11">
      <c r="A82">
        <v>2017</v>
      </c>
      <c r="B82">
        <v>46.94</v>
      </c>
      <c r="C82">
        <v>53.06</v>
      </c>
      <c r="D82">
        <v>100</v>
      </c>
      <c r="F82">
        <v>2017</v>
      </c>
      <c r="G82">
        <v>22.36</v>
      </c>
      <c r="H82">
        <v>77.64</v>
      </c>
      <c r="I82">
        <v>100</v>
      </c>
      <c r="K82">
        <f>H82-C82</f>
        <v>24.58</v>
      </c>
    </row>
    <row r="83" spans="1:11">
      <c r="A83">
        <v>2018</v>
      </c>
      <c r="B83">
        <v>48.46</v>
      </c>
      <c r="C83">
        <v>51.54</v>
      </c>
      <c r="D83">
        <v>100</v>
      </c>
      <c r="F83">
        <v>2018</v>
      </c>
      <c r="G83">
        <v>22.19</v>
      </c>
      <c r="H83">
        <v>77.81</v>
      </c>
      <c r="I83">
        <v>100</v>
      </c>
      <c r="K83">
        <f t="shared" ref="K83:K86" si="5">H83-C83</f>
        <v>26.270000000000003</v>
      </c>
    </row>
    <row r="84" spans="1:11">
      <c r="A84">
        <v>2019</v>
      </c>
      <c r="B84">
        <v>50.62</v>
      </c>
      <c r="C84">
        <v>49.38</v>
      </c>
      <c r="D84">
        <v>100</v>
      </c>
      <c r="F84">
        <v>2019</v>
      </c>
      <c r="G84">
        <v>23.09</v>
      </c>
      <c r="H84">
        <v>76.91</v>
      </c>
      <c r="I84">
        <v>100</v>
      </c>
      <c r="K84">
        <f t="shared" si="5"/>
        <v>27.529999999999994</v>
      </c>
    </row>
    <row r="85" spans="1:11">
      <c r="A85">
        <v>2020</v>
      </c>
      <c r="B85">
        <v>46.22</v>
      </c>
      <c r="C85">
        <v>53.78</v>
      </c>
      <c r="D85">
        <v>100</v>
      </c>
      <c r="F85">
        <v>2020</v>
      </c>
      <c r="G85">
        <v>15.68</v>
      </c>
      <c r="H85">
        <v>84.32</v>
      </c>
      <c r="I85">
        <v>100</v>
      </c>
      <c r="K85">
        <f t="shared" si="5"/>
        <v>30.539999999999992</v>
      </c>
    </row>
    <row r="86" spans="1:11">
      <c r="A86">
        <v>2021</v>
      </c>
      <c r="B86">
        <v>48.72</v>
      </c>
      <c r="C86">
        <v>51.28</v>
      </c>
      <c r="D86">
        <v>100</v>
      </c>
      <c r="F86">
        <v>2021</v>
      </c>
      <c r="G86">
        <v>18.23</v>
      </c>
      <c r="H86">
        <v>81.77</v>
      </c>
      <c r="I86">
        <v>100</v>
      </c>
      <c r="K86">
        <f t="shared" si="5"/>
        <v>30.489999999999995</v>
      </c>
    </row>
    <row r="88" spans="1:11">
      <c r="A88" t="s">
        <v>5</v>
      </c>
      <c r="B88">
        <v>48.22</v>
      </c>
      <c r="C88">
        <v>51.78</v>
      </c>
      <c r="D88">
        <v>100</v>
      </c>
      <c r="F88" t="s">
        <v>5</v>
      </c>
      <c r="G88">
        <v>20.49</v>
      </c>
      <c r="H88">
        <v>79.510000000000005</v>
      </c>
      <c r="I88">
        <v>100</v>
      </c>
    </row>
    <row r="91" spans="1:11">
      <c r="A91" t="s">
        <v>113</v>
      </c>
      <c r="B91" t="s">
        <v>105</v>
      </c>
      <c r="C91" t="s">
        <v>106</v>
      </c>
      <c r="D91" t="s">
        <v>5</v>
      </c>
      <c r="F91" t="s">
        <v>113</v>
      </c>
      <c r="G91" t="s">
        <v>105</v>
      </c>
      <c r="H91" t="s">
        <v>106</v>
      </c>
      <c r="I91" t="s">
        <v>5</v>
      </c>
    </row>
    <row r="93" spans="1:11">
      <c r="A93">
        <v>2017</v>
      </c>
      <c r="B93">
        <v>50.52</v>
      </c>
      <c r="C93">
        <v>49.48</v>
      </c>
      <c r="D93">
        <v>100</v>
      </c>
      <c r="F93">
        <v>2017</v>
      </c>
      <c r="G93">
        <v>20.27</v>
      </c>
      <c r="H93">
        <v>79.73</v>
      </c>
      <c r="I93">
        <v>100</v>
      </c>
      <c r="K93">
        <f>H93-C93</f>
        <v>30.250000000000007</v>
      </c>
    </row>
    <row r="94" spans="1:11">
      <c r="A94">
        <v>2018</v>
      </c>
      <c r="B94">
        <v>48.72</v>
      </c>
      <c r="C94">
        <v>51.28</v>
      </c>
      <c r="D94">
        <v>100</v>
      </c>
      <c r="F94">
        <v>2018</v>
      </c>
      <c r="G94">
        <v>17.989999999999998</v>
      </c>
      <c r="H94">
        <v>82.01</v>
      </c>
      <c r="I94">
        <v>100</v>
      </c>
      <c r="K94">
        <f t="shared" ref="K94:K97" si="6">H94-C94</f>
        <v>30.730000000000004</v>
      </c>
    </row>
    <row r="95" spans="1:11">
      <c r="A95">
        <v>2019</v>
      </c>
      <c r="B95">
        <v>46.06</v>
      </c>
      <c r="C95">
        <v>53.94</v>
      </c>
      <c r="D95">
        <v>100</v>
      </c>
      <c r="F95">
        <v>2019</v>
      </c>
      <c r="G95">
        <v>16.34</v>
      </c>
      <c r="H95">
        <v>83.66</v>
      </c>
      <c r="I95">
        <v>100</v>
      </c>
      <c r="K95">
        <f t="shared" si="6"/>
        <v>29.72</v>
      </c>
    </row>
    <row r="96" spans="1:11">
      <c r="A96">
        <v>2020</v>
      </c>
      <c r="B96">
        <v>36.28</v>
      </c>
      <c r="C96">
        <v>63.72</v>
      </c>
      <c r="D96">
        <v>100</v>
      </c>
      <c r="F96">
        <v>2020</v>
      </c>
      <c r="G96">
        <v>8.98</v>
      </c>
      <c r="H96">
        <v>91.02</v>
      </c>
      <c r="I96">
        <v>100</v>
      </c>
      <c r="K96">
        <f t="shared" si="6"/>
        <v>27.299999999999997</v>
      </c>
    </row>
    <row r="97" spans="1:11">
      <c r="A97">
        <v>2021</v>
      </c>
      <c r="B97">
        <v>31.43</v>
      </c>
      <c r="C97">
        <v>68.569999999999993</v>
      </c>
      <c r="D97">
        <v>100</v>
      </c>
      <c r="F97">
        <v>2021</v>
      </c>
      <c r="G97">
        <v>8.4600000000000009</v>
      </c>
      <c r="H97">
        <v>91.54</v>
      </c>
      <c r="I97">
        <v>100</v>
      </c>
      <c r="K97">
        <f t="shared" si="6"/>
        <v>22.970000000000013</v>
      </c>
    </row>
    <row r="99" spans="1:11">
      <c r="A99" t="s">
        <v>5</v>
      </c>
      <c r="B99">
        <v>42.63</v>
      </c>
      <c r="C99">
        <v>57.37</v>
      </c>
      <c r="D99">
        <v>100</v>
      </c>
      <c r="F99" t="s">
        <v>5</v>
      </c>
      <c r="G99">
        <v>14.65</v>
      </c>
      <c r="H99">
        <v>85.35</v>
      </c>
      <c r="I99">
        <v>100</v>
      </c>
    </row>
  </sheetData>
  <mergeCells count="12">
    <mergeCell ref="L6:L7"/>
    <mergeCell ref="L8:L9"/>
    <mergeCell ref="B1:C1"/>
    <mergeCell ref="D1:E1"/>
    <mergeCell ref="F1:G1"/>
    <mergeCell ref="H1:I1"/>
    <mergeCell ref="J1:K1"/>
    <mergeCell ref="B41:C41"/>
    <mergeCell ref="D41:E41"/>
    <mergeCell ref="F41:G41"/>
    <mergeCell ref="H41:I41"/>
    <mergeCell ref="J41:K4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</vt:lpstr>
      <vt:lpstr>Hoja2</vt:lpstr>
      <vt:lpstr>Base</vt:lpstr>
      <vt:lpstr>PC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PROYECTO1</dc:creator>
  <cp:lastModifiedBy>Gloria</cp:lastModifiedBy>
  <cp:lastPrinted>2022-02-24T14:48:36Z</cp:lastPrinted>
  <dcterms:created xsi:type="dcterms:W3CDTF">2022-02-21T13:16:34Z</dcterms:created>
  <dcterms:modified xsi:type="dcterms:W3CDTF">2022-02-28T22:58:28Z</dcterms:modified>
</cp:coreProperties>
</file>